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omments10.xml" ContentType="application/vnd.openxmlformats-officedocument.spreadsheetml.comment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omments11.xml" ContentType="application/vnd.openxmlformats-officedocument.spreadsheetml.comment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omments12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omments13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omments14.xml" ContentType="application/vnd.openxmlformats-officedocument.spreadsheetml.comment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omments15.xml" ContentType="application/vnd.openxmlformats-officedocument.spreadsheetml.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5.xml" ContentType="application/vnd.openxmlformats-officedocument.drawing+xml"/>
  <Override PartName="/xl/comments16.xml" ContentType="application/vnd.openxmlformats-officedocument.spreadsheetml.comment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6.xml" ContentType="application/vnd.openxmlformats-officedocument.drawing+xml"/>
  <Override PartName="/xl/comments17.xml" ContentType="application/vnd.openxmlformats-officedocument.spreadsheetml.comments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7.xml" ContentType="application/vnd.openxmlformats-officedocument.drawing+xml"/>
  <Override PartName="/xl/comments18.xml" ContentType="application/vnd.openxmlformats-officedocument.spreadsheetml.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8.xml" ContentType="application/vnd.openxmlformats-officedocument.drawing+xml"/>
  <Override PartName="/xl/comments19.xml" ContentType="application/vnd.openxmlformats-officedocument.spreadsheetml.comment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9.xml" ContentType="application/vnd.openxmlformats-officedocument.drawing+xml"/>
  <Override PartName="/xl/comments20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20.xml" ContentType="application/vnd.openxmlformats-officedocument.drawing+xml"/>
  <Override PartName="/xl/comments21.xml" ContentType="application/vnd.openxmlformats-officedocument.spreadsheetml.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1.xml" ContentType="application/vnd.openxmlformats-officedocument.drawing+xml"/>
  <Override PartName="/xl/comments22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22.xml" ContentType="application/vnd.openxmlformats-officedocument.drawing+xml"/>
  <Override PartName="/xl/comments23.xml" ContentType="application/vnd.openxmlformats-officedocument.spreadsheetml.comment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omments24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24.xml" ContentType="application/vnd.openxmlformats-officedocument.drawing+xml"/>
  <Override PartName="/xl/comments25.xml" ContentType="application/vnd.openxmlformats-officedocument.spreadsheetml.comments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omments26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6.xml" ContentType="application/vnd.openxmlformats-officedocument.drawing+xml"/>
  <Override PartName="/xl/comments27.xml" ContentType="application/vnd.openxmlformats-officedocument.spreadsheetml.comments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7.xml" ContentType="application/vnd.openxmlformats-officedocument.drawing+xml"/>
  <Override PartName="/xl/comments28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28.xml" ContentType="application/vnd.openxmlformats-officedocument.drawing+xml"/>
  <Override PartName="/xl/comments29.xml" ContentType="application/vnd.openxmlformats-officedocument.spreadsheetml.comments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9.xml" ContentType="application/vnd.openxmlformats-officedocument.drawing+xml"/>
  <Override PartName="/xl/comments30.xml" ContentType="application/vnd.openxmlformats-officedocument.spreadsheetml.comments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30.xml" ContentType="application/vnd.openxmlformats-officedocument.drawing+xml"/>
  <Override PartName="/xl/comments31.xml" ContentType="application/vnd.openxmlformats-officedocument.spreadsheetml.comments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31.xml" ContentType="application/vnd.openxmlformats-officedocument.drawing+xml"/>
  <Override PartName="/xl/comments32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32.xml" ContentType="application/vnd.openxmlformats-officedocument.drawing+xml"/>
  <Override PartName="/xl/comments33.xml" ContentType="application/vnd.openxmlformats-officedocument.spreadsheetml.comment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0 Data_Collection 75\Daily_Log_Sheets\Log Sheet 2080\"/>
    </mc:Choice>
  </mc:AlternateContent>
  <xr:revisionPtr revIDLastSave="0" documentId="13_ncr:1_{E463C539-D5A1-4C84-9CDB-EFA014EE85F1}" xr6:coauthVersionLast="47" xr6:coauthVersionMax="47" xr10:uidLastSave="{00000000-0000-0000-0000-000000000000}"/>
  <bookViews>
    <workbookView xWindow="-120" yWindow="-120" windowWidth="29040" windowHeight="15720" firstSheet="18" activeTab="29" xr2:uid="{340AB4D8-7F14-4FE9-ABA7-1C738A10E42C}"/>
  </bookViews>
  <sheets>
    <sheet name="0" sheetId="36" r:id="rId1"/>
    <sheet name="1" sheetId="37" r:id="rId2"/>
    <sheet name="2" sheetId="38" r:id="rId3"/>
    <sheet name="3" sheetId="39" r:id="rId4"/>
    <sheet name="4" sheetId="40" r:id="rId5"/>
    <sheet name="5" sheetId="41" r:id="rId6"/>
    <sheet name="6" sheetId="42" r:id="rId7"/>
    <sheet name="7" sheetId="43" r:id="rId8"/>
    <sheet name="8" sheetId="44" r:id="rId9"/>
    <sheet name="9" sheetId="45" r:id="rId10"/>
    <sheet name="10" sheetId="46" r:id="rId11"/>
    <sheet name="11" sheetId="47" r:id="rId12"/>
    <sheet name="12" sheetId="48" r:id="rId13"/>
    <sheet name="13" sheetId="49" r:id="rId14"/>
    <sheet name="15" sheetId="51" r:id="rId15"/>
    <sheet name="14" sheetId="50" r:id="rId16"/>
    <sheet name="16" sheetId="52" r:id="rId17"/>
    <sheet name="17" sheetId="53" r:id="rId18"/>
    <sheet name="18" sheetId="54" r:id="rId19"/>
    <sheet name="19" sheetId="55" r:id="rId20"/>
    <sheet name="20" sheetId="56" r:id="rId21"/>
    <sheet name="21" sheetId="57" r:id="rId22"/>
    <sheet name="22" sheetId="58" r:id="rId23"/>
    <sheet name="23" sheetId="59" r:id="rId24"/>
    <sheet name="24" sheetId="60" r:id="rId25"/>
    <sheet name="25" sheetId="61" r:id="rId26"/>
    <sheet name="26" sheetId="62" r:id="rId27"/>
    <sheet name="27" sheetId="63" r:id="rId28"/>
    <sheet name="28" sheetId="64" r:id="rId29"/>
    <sheet name="29" sheetId="65" r:id="rId30"/>
    <sheet name="30" sheetId="66" r:id="rId31"/>
    <sheet name="31" sheetId="67" r:id="rId32"/>
    <sheet name="01" sheetId="68" r:id="rId33"/>
    <sheet name="sample" sheetId="6" r:id="rId34"/>
    <sheet name="Sheet1" sheetId="3" r:id="rId35"/>
    <sheet name="phcal" sheetId="14" r:id="rId36"/>
  </sheets>
  <externalReferences>
    <externalReference r:id="rId37"/>
  </externalReferences>
  <definedNames>
    <definedName name="IPP" localSheetId="0">#REF!</definedName>
    <definedName name="IPP" localSheetId="32">#REF!</definedName>
    <definedName name="IPP" localSheetId="1">#REF!</definedName>
    <definedName name="IPP" localSheetId="10">#REF!</definedName>
    <definedName name="IPP" localSheetId="11">#REF!</definedName>
    <definedName name="IPP" localSheetId="12">#REF!</definedName>
    <definedName name="IPP" localSheetId="13">#REF!</definedName>
    <definedName name="IPP" localSheetId="15">#REF!</definedName>
    <definedName name="IPP" localSheetId="14">#REF!</definedName>
    <definedName name="IPP" localSheetId="16">#REF!</definedName>
    <definedName name="IPP" localSheetId="17">#REF!</definedName>
    <definedName name="IPP" localSheetId="18">#REF!</definedName>
    <definedName name="IPP" localSheetId="19">#REF!</definedName>
    <definedName name="IPP" localSheetId="2">#REF!</definedName>
    <definedName name="IPP" localSheetId="20">#REF!</definedName>
    <definedName name="IPP" localSheetId="21">#REF!</definedName>
    <definedName name="IPP" localSheetId="22">#REF!</definedName>
    <definedName name="IPP" localSheetId="23">#REF!</definedName>
    <definedName name="IPP" localSheetId="24">#REF!</definedName>
    <definedName name="IPP" localSheetId="25">#REF!</definedName>
    <definedName name="IPP" localSheetId="26">#REF!</definedName>
    <definedName name="IPP" localSheetId="27">#REF!</definedName>
    <definedName name="IPP" localSheetId="28">#REF!</definedName>
    <definedName name="IPP" localSheetId="29">#REF!</definedName>
    <definedName name="IPP" localSheetId="3">#REF!</definedName>
    <definedName name="IPP" localSheetId="30">#REF!</definedName>
    <definedName name="IPP" localSheetId="31">#REF!</definedName>
    <definedName name="IPP" localSheetId="4">#REF!</definedName>
    <definedName name="IPP" localSheetId="5">#REF!</definedName>
    <definedName name="IPP" localSheetId="6">#REF!</definedName>
    <definedName name="IPP" localSheetId="7">#REF!</definedName>
    <definedName name="IPP" localSheetId="8">#REF!</definedName>
    <definedName name="IPP" localSheetId="9">#REF!</definedName>
    <definedName name="IPP" localSheetId="33">#REF!</definedName>
    <definedName name="IPP">#REF!</definedName>
    <definedName name="ippp" localSheetId="0">#REF!</definedName>
    <definedName name="ippp" localSheetId="32">#REF!</definedName>
    <definedName name="ippp" localSheetId="1">#REF!</definedName>
    <definedName name="ippp" localSheetId="10">#REF!</definedName>
    <definedName name="ippp" localSheetId="11">#REF!</definedName>
    <definedName name="ippp" localSheetId="12">#REF!</definedName>
    <definedName name="ippp" localSheetId="13">#REF!</definedName>
    <definedName name="ippp" localSheetId="15">#REF!</definedName>
    <definedName name="ippp" localSheetId="14">#REF!</definedName>
    <definedName name="ippp" localSheetId="16">#REF!</definedName>
    <definedName name="ippp" localSheetId="17">#REF!</definedName>
    <definedName name="ippp" localSheetId="18">#REF!</definedName>
    <definedName name="ippp" localSheetId="19">#REF!</definedName>
    <definedName name="ippp" localSheetId="2">#REF!</definedName>
    <definedName name="ippp" localSheetId="20">#REF!</definedName>
    <definedName name="ippp" localSheetId="21">#REF!</definedName>
    <definedName name="ippp" localSheetId="22">#REF!</definedName>
    <definedName name="ippp" localSheetId="23">#REF!</definedName>
    <definedName name="ippp" localSheetId="24">#REF!</definedName>
    <definedName name="ippp" localSheetId="25">#REF!</definedName>
    <definedName name="ippp" localSheetId="26">#REF!</definedName>
    <definedName name="ippp" localSheetId="27">#REF!</definedName>
    <definedName name="ippp" localSheetId="28">#REF!</definedName>
    <definedName name="ippp" localSheetId="29">#REF!</definedName>
    <definedName name="ippp" localSheetId="3">#REF!</definedName>
    <definedName name="ippp" localSheetId="30">#REF!</definedName>
    <definedName name="ippp" localSheetId="31">#REF!</definedName>
    <definedName name="ippp" localSheetId="4">#REF!</definedName>
    <definedName name="ippp" localSheetId="5">#REF!</definedName>
    <definedName name="ippp" localSheetId="6">#REF!</definedName>
    <definedName name="ippp" localSheetId="7">#REF!</definedName>
    <definedName name="ippp" localSheetId="8">#REF!</definedName>
    <definedName name="ippp" localSheetId="9">#REF!</definedName>
    <definedName name="ippp" localSheetId="33">#REF!</definedName>
    <definedName name="ippp">#REF!</definedName>
    <definedName name="sdasdf" localSheetId="0">#REF!</definedName>
    <definedName name="sdasdf" localSheetId="32">#REF!</definedName>
    <definedName name="sdasdf" localSheetId="1">#REF!</definedName>
    <definedName name="sdasdf" localSheetId="10">#REF!</definedName>
    <definedName name="sdasdf" localSheetId="11">#REF!</definedName>
    <definedName name="sdasdf" localSheetId="12">#REF!</definedName>
    <definedName name="sdasdf" localSheetId="13">#REF!</definedName>
    <definedName name="sdasdf" localSheetId="15">#REF!</definedName>
    <definedName name="sdasdf" localSheetId="14">#REF!</definedName>
    <definedName name="sdasdf" localSheetId="16">#REF!</definedName>
    <definedName name="sdasdf" localSheetId="17">#REF!</definedName>
    <definedName name="sdasdf" localSheetId="18">#REF!</definedName>
    <definedName name="sdasdf" localSheetId="19">#REF!</definedName>
    <definedName name="sdasdf" localSheetId="2">#REF!</definedName>
    <definedName name="sdasdf" localSheetId="20">#REF!</definedName>
    <definedName name="sdasdf" localSheetId="21">#REF!</definedName>
    <definedName name="sdasdf" localSheetId="22">#REF!</definedName>
    <definedName name="sdasdf" localSheetId="23">#REF!</definedName>
    <definedName name="sdasdf" localSheetId="24">#REF!</definedName>
    <definedName name="sdasdf" localSheetId="25">#REF!</definedName>
    <definedName name="sdasdf" localSheetId="26">#REF!</definedName>
    <definedName name="sdasdf" localSheetId="27">#REF!</definedName>
    <definedName name="sdasdf" localSheetId="28">#REF!</definedName>
    <definedName name="sdasdf" localSheetId="29">#REF!</definedName>
    <definedName name="sdasdf" localSheetId="3">#REF!</definedName>
    <definedName name="sdasdf" localSheetId="30">#REF!</definedName>
    <definedName name="sdasdf" localSheetId="31">#REF!</definedName>
    <definedName name="sdasdf" localSheetId="4">#REF!</definedName>
    <definedName name="sdasdf" localSheetId="5">#REF!</definedName>
    <definedName name="sdasdf" localSheetId="6">#REF!</definedName>
    <definedName name="sdasdf" localSheetId="7">#REF!</definedName>
    <definedName name="sdasdf" localSheetId="8">#REF!</definedName>
    <definedName name="sdasdf" localSheetId="9">#REF!</definedName>
    <definedName name="sdasdf" localSheetId="33">#REF!</definedName>
    <definedName name="sdasd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9" i="68" l="1"/>
  <c r="V50" i="68"/>
  <c r="V54" i="68"/>
  <c r="V68" i="68"/>
  <c r="V72" i="68"/>
  <c r="V84" i="68"/>
  <c r="V100" i="68" s="1"/>
  <c r="V99" i="68"/>
  <c r="V110" i="68"/>
  <c r="U49" i="68"/>
  <c r="T49" i="68"/>
  <c r="S49" i="68"/>
  <c r="V89" i="68" l="1"/>
  <c r="V91" i="68" s="1"/>
  <c r="V92" i="68" s="1"/>
  <c r="Q49" i="68" l="1"/>
  <c r="R49" i="68"/>
  <c r="P49" i="68"/>
  <c r="O49" i="68" l="1"/>
  <c r="N84" i="68"/>
  <c r="N49" i="68"/>
  <c r="M113" i="68" l="1"/>
  <c r="M49" i="68"/>
  <c r="L113" i="68"/>
  <c r="L49" i="68"/>
  <c r="K113" i="68"/>
  <c r="K49" i="68"/>
  <c r="J113" i="68"/>
  <c r="J49" i="68"/>
  <c r="I49" i="68"/>
  <c r="I113" i="68"/>
  <c r="H113" i="68"/>
  <c r="H49" i="68"/>
  <c r="G113" i="68"/>
  <c r="G49" i="68"/>
  <c r="F113" i="68"/>
  <c r="AI113" i="68" s="1"/>
  <c r="E113" i="68"/>
  <c r="D50" i="68"/>
  <c r="B99" i="68"/>
  <c r="AF274" i="68"/>
  <c r="AE274" i="68"/>
  <c r="AD274" i="68"/>
  <c r="AC274" i="68"/>
  <c r="AB274" i="68"/>
  <c r="AA274" i="68"/>
  <c r="Z274" i="68"/>
  <c r="Y274" i="68"/>
  <c r="X274" i="68"/>
  <c r="W274" i="68"/>
  <c r="V274" i="68"/>
  <c r="U274" i="68"/>
  <c r="T274" i="68"/>
  <c r="S274" i="68"/>
  <c r="R274" i="68"/>
  <c r="Q274" i="68"/>
  <c r="P274" i="68"/>
  <c r="O274" i="68"/>
  <c r="N274" i="68"/>
  <c r="M274" i="68"/>
  <c r="L274" i="68"/>
  <c r="K274" i="68"/>
  <c r="J274" i="68"/>
  <c r="I274" i="68"/>
  <c r="H274" i="68"/>
  <c r="G274" i="68"/>
  <c r="F274" i="68"/>
  <c r="E274" i="68"/>
  <c r="D274" i="68"/>
  <c r="C274" i="68"/>
  <c r="B274" i="68"/>
  <c r="A274" i="68"/>
  <c r="AF273" i="68"/>
  <c r="AE273" i="68"/>
  <c r="AD273" i="68"/>
  <c r="AC273" i="68"/>
  <c r="AB273" i="68"/>
  <c r="AA273" i="68"/>
  <c r="Z273" i="68"/>
  <c r="Y273" i="68"/>
  <c r="X273" i="68"/>
  <c r="W273" i="68"/>
  <c r="V273" i="68"/>
  <c r="U273" i="68"/>
  <c r="T273" i="68"/>
  <c r="S273" i="68"/>
  <c r="R273" i="68"/>
  <c r="Q273" i="68"/>
  <c r="P273" i="68"/>
  <c r="O273" i="68"/>
  <c r="N273" i="68"/>
  <c r="M273" i="68"/>
  <c r="L273" i="68"/>
  <c r="K273" i="68"/>
  <c r="J273" i="68"/>
  <c r="I273" i="68"/>
  <c r="H273" i="68"/>
  <c r="G273" i="68"/>
  <c r="F273" i="68"/>
  <c r="E273" i="68"/>
  <c r="D273" i="68"/>
  <c r="C273" i="68"/>
  <c r="B273" i="68"/>
  <c r="A273" i="68"/>
  <c r="AF272" i="68"/>
  <c r="AE272" i="68"/>
  <c r="AD272" i="68"/>
  <c r="AC272" i="68"/>
  <c r="AB272" i="68"/>
  <c r="AA272" i="68"/>
  <c r="Z272" i="68"/>
  <c r="Y272" i="68"/>
  <c r="X272" i="68"/>
  <c r="W272" i="68"/>
  <c r="V272" i="68"/>
  <c r="U272" i="68"/>
  <c r="T272" i="68"/>
  <c r="S272" i="68"/>
  <c r="R272" i="68"/>
  <c r="Q272" i="68"/>
  <c r="P272" i="68"/>
  <c r="O272" i="68"/>
  <c r="N272" i="68"/>
  <c r="M272" i="68"/>
  <c r="L272" i="68"/>
  <c r="K272" i="68"/>
  <c r="J272" i="68"/>
  <c r="I272" i="68"/>
  <c r="H272" i="68"/>
  <c r="G272" i="68"/>
  <c r="F272" i="68"/>
  <c r="E272" i="68"/>
  <c r="D272" i="68"/>
  <c r="C272" i="68"/>
  <c r="B272" i="68"/>
  <c r="A272" i="68"/>
  <c r="AF271" i="68"/>
  <c r="AE271" i="68"/>
  <c r="AD271" i="68"/>
  <c r="AC271" i="68"/>
  <c r="AB271" i="68"/>
  <c r="AA271" i="68"/>
  <c r="Z271" i="68"/>
  <c r="Y271" i="68"/>
  <c r="X271" i="68"/>
  <c r="W271" i="68"/>
  <c r="V271" i="68"/>
  <c r="U271" i="68"/>
  <c r="T271" i="68"/>
  <c r="S271" i="68"/>
  <c r="R271" i="68"/>
  <c r="Q271" i="68"/>
  <c r="P271" i="68"/>
  <c r="O271" i="68"/>
  <c r="N271" i="68"/>
  <c r="M271" i="68"/>
  <c r="L271" i="68"/>
  <c r="K271" i="68"/>
  <c r="J271" i="68"/>
  <c r="I271" i="68"/>
  <c r="H271" i="68"/>
  <c r="G271" i="68"/>
  <c r="F271" i="68"/>
  <c r="E271" i="68"/>
  <c r="D271" i="68"/>
  <c r="C271" i="68"/>
  <c r="B271" i="68"/>
  <c r="A271" i="68"/>
  <c r="AE270" i="68"/>
  <c r="AD270" i="68"/>
  <c r="AC270" i="68"/>
  <c r="AB270" i="68"/>
  <c r="AA270" i="68"/>
  <c r="Z270" i="68"/>
  <c r="Y270" i="68"/>
  <c r="X270" i="68"/>
  <c r="W270" i="68"/>
  <c r="V270" i="68"/>
  <c r="U270" i="68"/>
  <c r="T270" i="68"/>
  <c r="S270" i="68"/>
  <c r="R270" i="68"/>
  <c r="Q270" i="68"/>
  <c r="P270" i="68"/>
  <c r="B270" i="68"/>
  <c r="S245" i="68"/>
  <c r="AG235" i="68"/>
  <c r="AF235" i="68"/>
  <c r="AE235" i="68"/>
  <c r="AD235" i="68"/>
  <c r="AC235" i="68"/>
  <c r="AB235" i="68"/>
  <c r="AA235" i="68"/>
  <c r="Z235" i="68"/>
  <c r="Y235" i="68"/>
  <c r="X235" i="68"/>
  <c r="W235" i="68"/>
  <c r="V235" i="68"/>
  <c r="U235" i="68"/>
  <c r="T235" i="68"/>
  <c r="S235" i="68"/>
  <c r="R235" i="68"/>
  <c r="Q235" i="68"/>
  <c r="C235" i="68"/>
  <c r="D234" i="68"/>
  <c r="E234" i="68" s="1"/>
  <c r="B234" i="68"/>
  <c r="AF270" i="68" s="1"/>
  <c r="D233" i="68"/>
  <c r="E233" i="68" s="1"/>
  <c r="F233" i="68" s="1"/>
  <c r="G233" i="68" s="1"/>
  <c r="H233" i="68" s="1"/>
  <c r="I233" i="68" s="1"/>
  <c r="J233" i="68" s="1"/>
  <c r="K233" i="68" s="1"/>
  <c r="L233" i="68" s="1"/>
  <c r="M233" i="68" s="1"/>
  <c r="N233" i="68" s="1"/>
  <c r="O233" i="68" s="1"/>
  <c r="P233" i="68" s="1"/>
  <c r="B233" i="68"/>
  <c r="H232" i="68"/>
  <c r="I232" i="68" s="1"/>
  <c r="G232" i="68"/>
  <c r="F232" i="68"/>
  <c r="E232" i="68"/>
  <c r="D232" i="68"/>
  <c r="B232" i="68"/>
  <c r="F231" i="68"/>
  <c r="G231" i="68" s="1"/>
  <c r="H231" i="68" s="1"/>
  <c r="E231" i="68"/>
  <c r="D231" i="68"/>
  <c r="B231" i="68"/>
  <c r="D230" i="68"/>
  <c r="D235" i="68" s="1"/>
  <c r="B230" i="68"/>
  <c r="E229" i="68"/>
  <c r="F229" i="68" s="1"/>
  <c r="D229" i="68"/>
  <c r="B229" i="68"/>
  <c r="B110" i="68" s="1"/>
  <c r="AG227" i="68"/>
  <c r="AF227" i="68"/>
  <c r="AE227" i="68"/>
  <c r="AD227" i="68"/>
  <c r="AC227" i="68"/>
  <c r="AB227" i="68"/>
  <c r="AA227" i="68"/>
  <c r="Z227" i="68"/>
  <c r="Y227" i="68"/>
  <c r="X227" i="68"/>
  <c r="W227" i="68"/>
  <c r="V227" i="68"/>
  <c r="U227" i="68"/>
  <c r="T227" i="68"/>
  <c r="S227" i="68"/>
  <c r="R227" i="68"/>
  <c r="Q227" i="68"/>
  <c r="P227" i="68"/>
  <c r="O227" i="68"/>
  <c r="N227" i="68"/>
  <c r="M227" i="68"/>
  <c r="L227" i="68"/>
  <c r="K227" i="68"/>
  <c r="J227" i="68"/>
  <c r="I227" i="68"/>
  <c r="H227" i="68"/>
  <c r="G227" i="68"/>
  <c r="F227" i="68"/>
  <c r="E227" i="68"/>
  <c r="D227" i="68"/>
  <c r="C227" i="68"/>
  <c r="B227" i="68"/>
  <c r="AI120" i="68"/>
  <c r="AH120" i="68"/>
  <c r="AI119" i="68"/>
  <c r="AH119" i="68"/>
  <c r="AI118" i="68"/>
  <c r="AH118" i="68"/>
  <c r="AI117" i="68"/>
  <c r="AH117" i="68"/>
  <c r="AI116" i="68"/>
  <c r="AH116" i="68"/>
  <c r="AI115" i="68"/>
  <c r="AH115" i="68"/>
  <c r="AI114" i="68"/>
  <c r="AH114" i="68"/>
  <c r="AI112" i="68"/>
  <c r="AH112" i="68"/>
  <c r="AI111" i="68"/>
  <c r="AH111" i="68"/>
  <c r="AF110" i="68"/>
  <c r="AE110" i="68"/>
  <c r="AC110" i="68"/>
  <c r="AB110" i="68"/>
  <c r="AA110" i="68"/>
  <c r="Z110" i="68"/>
  <c r="Y110" i="68"/>
  <c r="X110" i="68"/>
  <c r="W110" i="68"/>
  <c r="U110" i="68"/>
  <c r="T110" i="68"/>
  <c r="S110" i="68"/>
  <c r="R110" i="68"/>
  <c r="Q110" i="68"/>
  <c r="D110" i="68"/>
  <c r="C110" i="68"/>
  <c r="AI109" i="68"/>
  <c r="AH109" i="68"/>
  <c r="AI108" i="68"/>
  <c r="AH108" i="68"/>
  <c r="AI107" i="68"/>
  <c r="AH107" i="68"/>
  <c r="AI106" i="68"/>
  <c r="AH106" i="68"/>
  <c r="AI105" i="68"/>
  <c r="AH105" i="68"/>
  <c r="AI104" i="68"/>
  <c r="AH104" i="68"/>
  <c r="AI103" i="68"/>
  <c r="AH103" i="68"/>
  <c r="AI102" i="68"/>
  <c r="AH102" i="68"/>
  <c r="AI101" i="68"/>
  <c r="AH101" i="68"/>
  <c r="AE100" i="68"/>
  <c r="W100" i="68"/>
  <c r="AF99" i="68"/>
  <c r="AF100" i="68" s="1"/>
  <c r="AE99" i="68"/>
  <c r="AD99" i="68"/>
  <c r="AC99" i="68"/>
  <c r="AB99" i="68"/>
  <c r="AA99" i="68"/>
  <c r="Z99" i="68"/>
  <c r="Y99" i="68"/>
  <c r="X99" i="68"/>
  <c r="X100" i="68" s="1"/>
  <c r="W99" i="68"/>
  <c r="U99" i="68"/>
  <c r="T99" i="68"/>
  <c r="S99" i="68"/>
  <c r="R99" i="68"/>
  <c r="Q99" i="68"/>
  <c r="P99" i="68"/>
  <c r="O99" i="68"/>
  <c r="N99" i="68"/>
  <c r="M99" i="68"/>
  <c r="L99" i="68"/>
  <c r="K99" i="68"/>
  <c r="J99" i="68"/>
  <c r="I99" i="68"/>
  <c r="H99" i="68"/>
  <c r="G99" i="68"/>
  <c r="F99" i="68"/>
  <c r="E99" i="68"/>
  <c r="D99" i="68"/>
  <c r="C99" i="68"/>
  <c r="AI98" i="68"/>
  <c r="AH98" i="68"/>
  <c r="AI97" i="68"/>
  <c r="AH97" i="68"/>
  <c r="AI96" i="68"/>
  <c r="AH96" i="68"/>
  <c r="AI95" i="68"/>
  <c r="AH95" i="68"/>
  <c r="AI94" i="68"/>
  <c r="AH94" i="68"/>
  <c r="AI93" i="68"/>
  <c r="AH93" i="68"/>
  <c r="AI90" i="68"/>
  <c r="AH90" i="68"/>
  <c r="AB89" i="68"/>
  <c r="AB91" i="68" s="1"/>
  <c r="AA89" i="68"/>
  <c r="AA91" i="68" s="1"/>
  <c r="AI88" i="68"/>
  <c r="AH88" i="68"/>
  <c r="AG88" i="68"/>
  <c r="AI87" i="68"/>
  <c r="AH87" i="68"/>
  <c r="AI86" i="68"/>
  <c r="AH86" i="68"/>
  <c r="AI85" i="68"/>
  <c r="AH85" i="68"/>
  <c r="AG84" i="68"/>
  <c r="AF84" i="68"/>
  <c r="AE84" i="68"/>
  <c r="AD5" i="68" s="1"/>
  <c r="AD84" i="68"/>
  <c r="AD100" i="68" s="1"/>
  <c r="AC84" i="68"/>
  <c r="AC100" i="68" s="1"/>
  <c r="AB84" i="68"/>
  <c r="AB100" i="68" s="1"/>
  <c r="AA84" i="68"/>
  <c r="AA100" i="68" s="1"/>
  <c r="Z84" i="68"/>
  <c r="Z100" i="68" s="1"/>
  <c r="Y84" i="68"/>
  <c r="Y100" i="68" s="1"/>
  <c r="X84" i="68"/>
  <c r="W84" i="68"/>
  <c r="V5" i="68" s="1"/>
  <c r="U84" i="68"/>
  <c r="U100" i="68" s="1"/>
  <c r="T84" i="68"/>
  <c r="T100" i="68" s="1"/>
  <c r="S84" i="68"/>
  <c r="S100" i="68" s="1"/>
  <c r="R84" i="68"/>
  <c r="Q84" i="68"/>
  <c r="P84" i="68"/>
  <c r="O5" i="68" s="1"/>
  <c r="O84" i="68"/>
  <c r="N5" i="68" s="1"/>
  <c r="M84" i="68"/>
  <c r="M100" i="68" s="1"/>
  <c r="L84" i="68"/>
  <c r="L100" i="68" s="1"/>
  <c r="K84" i="68"/>
  <c r="K100" i="68" s="1"/>
  <c r="J84" i="68"/>
  <c r="J100" i="68" s="1"/>
  <c r="I84" i="68"/>
  <c r="I100" i="68" s="1"/>
  <c r="H84" i="68"/>
  <c r="G5" i="68" s="1"/>
  <c r="G84" i="68"/>
  <c r="F5" i="68" s="1"/>
  <c r="F84" i="68"/>
  <c r="F100" i="68" s="1"/>
  <c r="E84" i="68"/>
  <c r="D84" i="68"/>
  <c r="D100" i="68" s="1"/>
  <c r="C84" i="68"/>
  <c r="C100" i="68" s="1"/>
  <c r="B84" i="68"/>
  <c r="AI83" i="68"/>
  <c r="AH83" i="68"/>
  <c r="AI82" i="68"/>
  <c r="AH82" i="68"/>
  <c r="AI81" i="68"/>
  <c r="AH81" i="68"/>
  <c r="AI80" i="68"/>
  <c r="AH80" i="68"/>
  <c r="AI79" i="68"/>
  <c r="AH79" i="68"/>
  <c r="AI78" i="68"/>
  <c r="AH78" i="68"/>
  <c r="AI77" i="68"/>
  <c r="AH77" i="68"/>
  <c r="AI76" i="68"/>
  <c r="AH76" i="68"/>
  <c r="AH75" i="68"/>
  <c r="AI74" i="68"/>
  <c r="AH74" i="68"/>
  <c r="AI73" i="68"/>
  <c r="AH73" i="68"/>
  <c r="AG72" i="68"/>
  <c r="AF72" i="68"/>
  <c r="AE72" i="68"/>
  <c r="AD72" i="68"/>
  <c r="AC72" i="68"/>
  <c r="AB72" i="68"/>
  <c r="AA72" i="68"/>
  <c r="Z72" i="68"/>
  <c r="Y72" i="68"/>
  <c r="X72" i="68"/>
  <c r="W72" i="68"/>
  <c r="U72" i="68"/>
  <c r="T72" i="68"/>
  <c r="S72" i="68"/>
  <c r="R72" i="68"/>
  <c r="Q72" i="68"/>
  <c r="P72" i="68"/>
  <c r="O72" i="68"/>
  <c r="N72" i="68"/>
  <c r="M72" i="68"/>
  <c r="L72" i="68"/>
  <c r="B72" i="68"/>
  <c r="AI71" i="68"/>
  <c r="AH71" i="68"/>
  <c r="AI70" i="68"/>
  <c r="AH70" i="68"/>
  <c r="AI69" i="68"/>
  <c r="AH69" i="68"/>
  <c r="AF68" i="68"/>
  <c r="AE68" i="68"/>
  <c r="AD68" i="68"/>
  <c r="AC68" i="68"/>
  <c r="AB68" i="68"/>
  <c r="AA68" i="68"/>
  <c r="Z68" i="68"/>
  <c r="Y68" i="68"/>
  <c r="X68" i="68"/>
  <c r="W68" i="68"/>
  <c r="U68" i="68"/>
  <c r="T68" i="68"/>
  <c r="S68" i="68"/>
  <c r="R68" i="68"/>
  <c r="Q68" i="68"/>
  <c r="P68" i="68"/>
  <c r="O68" i="68"/>
  <c r="N68" i="68"/>
  <c r="M68" i="68"/>
  <c r="L68" i="68"/>
  <c r="K68" i="68"/>
  <c r="J68" i="68"/>
  <c r="I68" i="68"/>
  <c r="H68" i="68"/>
  <c r="G68" i="68"/>
  <c r="F68" i="68"/>
  <c r="E68" i="68"/>
  <c r="D68" i="68"/>
  <c r="C68" i="68"/>
  <c r="B68" i="68"/>
  <c r="AI67" i="68"/>
  <c r="AH67" i="68"/>
  <c r="AG67" i="68"/>
  <c r="AG68" i="68" s="1"/>
  <c r="AG3" i="68" s="1"/>
  <c r="AG6" i="68" s="1"/>
  <c r="AI66" i="68"/>
  <c r="AH66" i="68"/>
  <c r="AI65" i="68"/>
  <c r="AH65" i="68"/>
  <c r="AI64" i="68"/>
  <c r="AH64" i="68"/>
  <c r="AI63" i="68"/>
  <c r="AH63" i="68"/>
  <c r="AI62" i="68"/>
  <c r="AH62" i="68"/>
  <c r="AI61" i="68"/>
  <c r="AH61" i="68"/>
  <c r="AI60" i="68"/>
  <c r="AH60" i="68"/>
  <c r="AI59" i="68"/>
  <c r="AH59" i="68"/>
  <c r="AI58" i="68"/>
  <c r="AH58" i="68"/>
  <c r="AI57" i="68"/>
  <c r="AH57" i="68"/>
  <c r="AI56" i="68"/>
  <c r="AH56" i="68"/>
  <c r="AI55" i="68"/>
  <c r="AH55" i="68"/>
  <c r="AG54" i="68"/>
  <c r="AF54" i="68"/>
  <c r="AE54" i="68"/>
  <c r="AD54" i="68"/>
  <c r="AC54" i="68"/>
  <c r="AB54" i="68"/>
  <c r="AA54" i="68"/>
  <c r="Z54" i="68"/>
  <c r="Y54" i="68"/>
  <c r="X54" i="68"/>
  <c r="W54" i="68"/>
  <c r="U54" i="68"/>
  <c r="T54" i="68"/>
  <c r="S54" i="68"/>
  <c r="R54" i="68"/>
  <c r="Q54" i="68"/>
  <c r="P54" i="68"/>
  <c r="O54" i="68"/>
  <c r="N54" i="68"/>
  <c r="M54" i="68"/>
  <c r="L54" i="68"/>
  <c r="K54" i="68"/>
  <c r="J54" i="68"/>
  <c r="I54" i="68"/>
  <c r="H54" i="68"/>
  <c r="G54" i="68"/>
  <c r="F54" i="68"/>
  <c r="E54" i="68"/>
  <c r="D54" i="68"/>
  <c r="C54" i="68"/>
  <c r="B54" i="68"/>
  <c r="AI53" i="68"/>
  <c r="AH53" i="68"/>
  <c r="AI52" i="68"/>
  <c r="AH52" i="68"/>
  <c r="AI51" i="68"/>
  <c r="AH51" i="68"/>
  <c r="AG50" i="68"/>
  <c r="AG89" i="68" s="1"/>
  <c r="AF50" i="68"/>
  <c r="AF89" i="68" s="1"/>
  <c r="AF91" i="68" s="1"/>
  <c r="AE50" i="68"/>
  <c r="AE89" i="68" s="1"/>
  <c r="AE91" i="68" s="1"/>
  <c r="AD50" i="68"/>
  <c r="AD89" i="68" s="1"/>
  <c r="AD91" i="68" s="1"/>
  <c r="AC50" i="68"/>
  <c r="AC89" i="68" s="1"/>
  <c r="AC91" i="68" s="1"/>
  <c r="AB50" i="68"/>
  <c r="AA50" i="68"/>
  <c r="Z50" i="68"/>
  <c r="Z89" i="68" s="1"/>
  <c r="Z91" i="68" s="1"/>
  <c r="Y50" i="68"/>
  <c r="Y89" i="68" s="1"/>
  <c r="Y91" i="68" s="1"/>
  <c r="X50" i="68"/>
  <c r="X89" i="68" s="1"/>
  <c r="X91" i="68" s="1"/>
  <c r="W50" i="68"/>
  <c r="W89" i="68" s="1"/>
  <c r="W91" i="68" s="1"/>
  <c r="U50" i="68"/>
  <c r="T50" i="68"/>
  <c r="S50" i="68"/>
  <c r="R50" i="68"/>
  <c r="Q50" i="68"/>
  <c r="P50" i="68"/>
  <c r="O50" i="68"/>
  <c r="N50" i="68"/>
  <c r="M50" i="68"/>
  <c r="L50" i="68"/>
  <c r="K50" i="68"/>
  <c r="J50" i="68"/>
  <c r="I50" i="68"/>
  <c r="H50" i="68"/>
  <c r="G50" i="68"/>
  <c r="F50" i="68"/>
  <c r="F89" i="68" s="1"/>
  <c r="F91" i="68" s="1"/>
  <c r="E50" i="68"/>
  <c r="D89" i="68"/>
  <c r="D91" i="68" s="1"/>
  <c r="C50" i="68"/>
  <c r="B50" i="68"/>
  <c r="AI48" i="68"/>
  <c r="AH48" i="68"/>
  <c r="AI47" i="68"/>
  <c r="AH47" i="68"/>
  <c r="AI46" i="68"/>
  <c r="AH46" i="68"/>
  <c r="AI45" i="68"/>
  <c r="AH45" i="68"/>
  <c r="AI44" i="68"/>
  <c r="AH44" i="68"/>
  <c r="AI43" i="68"/>
  <c r="AH43" i="68"/>
  <c r="AI42" i="68"/>
  <c r="AH42" i="68"/>
  <c r="AI41" i="68"/>
  <c r="AH41" i="68"/>
  <c r="AI40" i="68"/>
  <c r="AH40" i="68"/>
  <c r="AI39" i="68"/>
  <c r="AH39" i="68"/>
  <c r="AI38" i="68"/>
  <c r="AH38" i="68"/>
  <c r="AI37" i="68"/>
  <c r="AH37" i="68"/>
  <c r="AI36" i="68"/>
  <c r="AH36" i="68"/>
  <c r="AI35" i="68"/>
  <c r="AH35" i="68"/>
  <c r="AI34" i="68"/>
  <c r="AH34" i="68"/>
  <c r="AI33" i="68"/>
  <c r="AH33" i="68"/>
  <c r="AI32" i="68"/>
  <c r="AH32" i="68"/>
  <c r="AI31" i="68"/>
  <c r="AH31" i="68"/>
  <c r="AI30" i="68"/>
  <c r="AH30" i="68"/>
  <c r="AI29" i="68"/>
  <c r="AH29" i="68"/>
  <c r="AI28" i="68"/>
  <c r="AH28" i="68"/>
  <c r="AI27" i="68"/>
  <c r="AH27" i="68"/>
  <c r="AI26" i="68"/>
  <c r="AH26" i="68"/>
  <c r="AI25" i="68"/>
  <c r="AH25" i="68"/>
  <c r="AI24" i="68"/>
  <c r="AH24" i="68"/>
  <c r="AI23" i="68"/>
  <c r="AH23" i="68"/>
  <c r="AI22" i="68"/>
  <c r="AH22" i="68"/>
  <c r="AI21" i="68"/>
  <c r="AH21" i="68"/>
  <c r="AI20" i="68"/>
  <c r="AH20" i="68"/>
  <c r="AI19" i="68"/>
  <c r="AH19" i="68"/>
  <c r="AI18" i="68"/>
  <c r="AH18" i="68"/>
  <c r="AI17" i="68"/>
  <c r="AH17" i="68"/>
  <c r="AI16" i="68"/>
  <c r="AH16" i="68"/>
  <c r="AI15" i="68"/>
  <c r="AH15" i="68"/>
  <c r="AI14" i="68"/>
  <c r="AH14" i="68"/>
  <c r="AI13" i="68"/>
  <c r="AH13" i="68"/>
  <c r="AI12" i="68"/>
  <c r="AH12" i="68"/>
  <c r="AI11" i="68"/>
  <c r="AH11" i="68"/>
  <c r="AE5" i="68"/>
  <c r="AB5" i="68"/>
  <c r="AA5" i="68"/>
  <c r="Z5" i="68"/>
  <c r="Y5" i="68"/>
  <c r="X5" i="68"/>
  <c r="W5" i="68"/>
  <c r="Q5" i="68"/>
  <c r="P5" i="68"/>
  <c r="AG4" i="68"/>
  <c r="K4" i="68"/>
  <c r="E4" i="68"/>
  <c r="H4" i="68" s="1"/>
  <c r="B4" i="68"/>
  <c r="S246" i="68" s="1"/>
  <c r="AG2" i="68"/>
  <c r="AB113" i="67"/>
  <c r="AB49" i="67"/>
  <c r="AA49" i="67"/>
  <c r="Z49" i="67"/>
  <c r="Y49" i="67"/>
  <c r="X49" i="67"/>
  <c r="W49" i="67"/>
  <c r="V49" i="67"/>
  <c r="U49" i="67"/>
  <c r="T49" i="67"/>
  <c r="S113" i="67"/>
  <c r="S49" i="67"/>
  <c r="R113" i="67"/>
  <c r="AF274" i="67"/>
  <c r="AE274" i="67"/>
  <c r="AD274" i="67"/>
  <c r="AC274" i="67"/>
  <c r="AB274" i="67"/>
  <c r="AA274" i="67"/>
  <c r="Z274" i="67"/>
  <c r="Y274" i="67"/>
  <c r="X274" i="67"/>
  <c r="W274" i="67"/>
  <c r="V274" i="67"/>
  <c r="U274" i="67"/>
  <c r="T274" i="67"/>
  <c r="S274" i="67"/>
  <c r="R274" i="67"/>
  <c r="Q274" i="67"/>
  <c r="P274" i="67"/>
  <c r="O274" i="67"/>
  <c r="N274" i="67"/>
  <c r="M274" i="67"/>
  <c r="L274" i="67"/>
  <c r="K274" i="67"/>
  <c r="J274" i="67"/>
  <c r="I274" i="67"/>
  <c r="H274" i="67"/>
  <c r="G274" i="67"/>
  <c r="F274" i="67"/>
  <c r="E274" i="67"/>
  <c r="D274" i="67"/>
  <c r="C274" i="67"/>
  <c r="B274" i="67"/>
  <c r="A274" i="67"/>
  <c r="AF273" i="67"/>
  <c r="AE273" i="67"/>
  <c r="AD273" i="67"/>
  <c r="AC273" i="67"/>
  <c r="AB273" i="67"/>
  <c r="AA273" i="67"/>
  <c r="Z273" i="67"/>
  <c r="Y273" i="67"/>
  <c r="X273" i="67"/>
  <c r="W273" i="67"/>
  <c r="V273" i="67"/>
  <c r="U273" i="67"/>
  <c r="T273" i="67"/>
  <c r="S273" i="67"/>
  <c r="R273" i="67"/>
  <c r="Q273" i="67"/>
  <c r="P273" i="67"/>
  <c r="O273" i="67"/>
  <c r="N273" i="67"/>
  <c r="M273" i="67"/>
  <c r="L273" i="67"/>
  <c r="K273" i="67"/>
  <c r="J273" i="67"/>
  <c r="I273" i="67"/>
  <c r="H273" i="67"/>
  <c r="G273" i="67"/>
  <c r="F273" i="67"/>
  <c r="E273" i="67"/>
  <c r="D273" i="67"/>
  <c r="C273" i="67"/>
  <c r="B273" i="67"/>
  <c r="A273" i="67"/>
  <c r="AF272" i="67"/>
  <c r="AE272" i="67"/>
  <c r="AD272" i="67"/>
  <c r="AC272" i="67"/>
  <c r="AB272" i="67"/>
  <c r="AA272" i="67"/>
  <c r="Z272" i="67"/>
  <c r="Y272" i="67"/>
  <c r="X272" i="67"/>
  <c r="W272" i="67"/>
  <c r="V272" i="67"/>
  <c r="U272" i="67"/>
  <c r="T272" i="67"/>
  <c r="S272" i="67"/>
  <c r="R272" i="67"/>
  <c r="Q272" i="67"/>
  <c r="P272" i="67"/>
  <c r="O272" i="67"/>
  <c r="N272" i="67"/>
  <c r="M272" i="67"/>
  <c r="L272" i="67"/>
  <c r="K272" i="67"/>
  <c r="J272" i="67"/>
  <c r="I272" i="67"/>
  <c r="H272" i="67"/>
  <c r="G272" i="67"/>
  <c r="F272" i="67"/>
  <c r="E272" i="67"/>
  <c r="D272" i="67"/>
  <c r="C272" i="67"/>
  <c r="B272" i="67"/>
  <c r="A272" i="67"/>
  <c r="AF271" i="67"/>
  <c r="AE271" i="67"/>
  <c r="AD271" i="67"/>
  <c r="AC271" i="67"/>
  <c r="AB271" i="67"/>
  <c r="AA271" i="67"/>
  <c r="Z271" i="67"/>
  <c r="Y271" i="67"/>
  <c r="X271" i="67"/>
  <c r="W271" i="67"/>
  <c r="V271" i="67"/>
  <c r="U271" i="67"/>
  <c r="T271" i="67"/>
  <c r="S271" i="67"/>
  <c r="R271" i="67"/>
  <c r="Q271" i="67"/>
  <c r="P271" i="67"/>
  <c r="O271" i="67"/>
  <c r="N271" i="67"/>
  <c r="M271" i="67"/>
  <c r="L271" i="67"/>
  <c r="K271" i="67"/>
  <c r="J271" i="67"/>
  <c r="I271" i="67"/>
  <c r="H271" i="67"/>
  <c r="G271" i="67"/>
  <c r="F271" i="67"/>
  <c r="E271" i="67"/>
  <c r="D271" i="67"/>
  <c r="C271" i="67"/>
  <c r="B271" i="67"/>
  <c r="A271" i="67"/>
  <c r="AE270" i="67"/>
  <c r="AD270" i="67"/>
  <c r="AC270" i="67"/>
  <c r="AB270" i="67"/>
  <c r="AA270" i="67"/>
  <c r="Z270" i="67"/>
  <c r="Y270" i="67"/>
  <c r="X270" i="67"/>
  <c r="W270" i="67"/>
  <c r="V270" i="67"/>
  <c r="U270" i="67"/>
  <c r="T270" i="67"/>
  <c r="S270" i="67"/>
  <c r="R270" i="67"/>
  <c r="Q270" i="67"/>
  <c r="P270" i="67"/>
  <c r="B270" i="67"/>
  <c r="S245" i="67"/>
  <c r="AG235" i="67"/>
  <c r="AF235" i="67"/>
  <c r="AE235" i="67"/>
  <c r="AD235" i="67"/>
  <c r="AC235" i="67"/>
  <c r="AB235" i="67"/>
  <c r="AA235" i="67"/>
  <c r="Z235" i="67"/>
  <c r="Y235" i="67"/>
  <c r="X235" i="67"/>
  <c r="W235" i="67"/>
  <c r="V235" i="67"/>
  <c r="U235" i="67"/>
  <c r="T235" i="67"/>
  <c r="S235" i="67"/>
  <c r="R235" i="67"/>
  <c r="Q235" i="67"/>
  <c r="C235" i="67"/>
  <c r="D234" i="67"/>
  <c r="C270" i="67" s="1"/>
  <c r="B234" i="67"/>
  <c r="AF270" i="67" s="1"/>
  <c r="E233" i="67"/>
  <c r="F233" i="67" s="1"/>
  <c r="G233" i="67" s="1"/>
  <c r="H233" i="67" s="1"/>
  <c r="I233" i="67" s="1"/>
  <c r="J233" i="67" s="1"/>
  <c r="K233" i="67" s="1"/>
  <c r="L233" i="67" s="1"/>
  <c r="M233" i="67" s="1"/>
  <c r="N233" i="67" s="1"/>
  <c r="O233" i="67" s="1"/>
  <c r="P233" i="67" s="1"/>
  <c r="D233" i="67"/>
  <c r="B233" i="67"/>
  <c r="F232" i="67"/>
  <c r="G232" i="67" s="1"/>
  <c r="H232" i="67" s="1"/>
  <c r="I232" i="67" s="1"/>
  <c r="E232" i="67"/>
  <c r="D232" i="67"/>
  <c r="B232" i="67"/>
  <c r="D231" i="67"/>
  <c r="E231" i="67" s="1"/>
  <c r="F231" i="67" s="1"/>
  <c r="G231" i="67" s="1"/>
  <c r="H231" i="67" s="1"/>
  <c r="B231" i="67"/>
  <c r="D230" i="67"/>
  <c r="D235" i="67" s="1"/>
  <c r="B230" i="67"/>
  <c r="E229" i="67"/>
  <c r="F229" i="67" s="1"/>
  <c r="D229" i="67"/>
  <c r="B229" i="67"/>
  <c r="B235" i="67" s="1"/>
  <c r="AG227" i="67"/>
  <c r="AF227" i="67"/>
  <c r="AE227" i="67"/>
  <c r="AD227" i="67"/>
  <c r="AC227" i="67"/>
  <c r="AB227" i="67"/>
  <c r="AA227" i="67"/>
  <c r="Z227" i="67"/>
  <c r="Y227" i="67"/>
  <c r="X227" i="67"/>
  <c r="W227" i="67"/>
  <c r="V227" i="67"/>
  <c r="U227" i="67"/>
  <c r="T227" i="67"/>
  <c r="S227" i="67"/>
  <c r="R227" i="67"/>
  <c r="Q227" i="67"/>
  <c r="P227" i="67"/>
  <c r="O227" i="67"/>
  <c r="N227" i="67"/>
  <c r="M227" i="67"/>
  <c r="L227" i="67"/>
  <c r="K227" i="67"/>
  <c r="J227" i="67"/>
  <c r="I227" i="67"/>
  <c r="H227" i="67"/>
  <c r="G227" i="67"/>
  <c r="F227" i="67"/>
  <c r="E227" i="67"/>
  <c r="D227" i="67"/>
  <c r="C227" i="67"/>
  <c r="B227" i="67"/>
  <c r="AI120" i="67"/>
  <c r="AH120" i="67"/>
  <c r="AI119" i="67"/>
  <c r="AH119" i="67"/>
  <c r="AI118" i="67"/>
  <c r="AH118" i="67"/>
  <c r="AI117" i="67"/>
  <c r="AH117" i="67"/>
  <c r="AI116" i="67"/>
  <c r="AH116" i="67"/>
  <c r="AI115" i="67"/>
  <c r="AH115" i="67"/>
  <c r="AI114" i="67"/>
  <c r="AH114" i="67"/>
  <c r="AI113" i="67"/>
  <c r="AH113" i="67"/>
  <c r="AI112" i="67"/>
  <c r="AH112" i="67"/>
  <c r="AI111" i="67"/>
  <c r="AH111" i="67"/>
  <c r="AF110" i="67"/>
  <c r="AE110" i="67"/>
  <c r="AC110" i="67"/>
  <c r="AB110" i="67"/>
  <c r="AA110" i="67"/>
  <c r="Z110" i="67"/>
  <c r="Y110" i="67"/>
  <c r="X110" i="67"/>
  <c r="W110" i="67"/>
  <c r="V110" i="67"/>
  <c r="U110" i="67"/>
  <c r="T110" i="67"/>
  <c r="S110" i="67"/>
  <c r="R110" i="67"/>
  <c r="Q110" i="67"/>
  <c r="AI109" i="67"/>
  <c r="AH109" i="67"/>
  <c r="AI108" i="67"/>
  <c r="AH108" i="67"/>
  <c r="AI107" i="67"/>
  <c r="AH107" i="67"/>
  <c r="AI106" i="67"/>
  <c r="AH106" i="67"/>
  <c r="AI105" i="67"/>
  <c r="AH105" i="67"/>
  <c r="AI104" i="67"/>
  <c r="AH104" i="67"/>
  <c r="AI103" i="67"/>
  <c r="AH103" i="67"/>
  <c r="AI102" i="67"/>
  <c r="AH102" i="67"/>
  <c r="AI101" i="67"/>
  <c r="AH101" i="67"/>
  <c r="AF99" i="67"/>
  <c r="AE99" i="67"/>
  <c r="AD99" i="67"/>
  <c r="AC99" i="67"/>
  <c r="AB99" i="67"/>
  <c r="AA99" i="67"/>
  <c r="Z99" i="67"/>
  <c r="Y99" i="67"/>
  <c r="X99" i="67"/>
  <c r="W99" i="67"/>
  <c r="V99" i="67"/>
  <c r="U99" i="67"/>
  <c r="T99" i="67"/>
  <c r="S99" i="67"/>
  <c r="R99" i="67"/>
  <c r="Q99" i="67"/>
  <c r="P99" i="67"/>
  <c r="O99" i="67"/>
  <c r="N99" i="67"/>
  <c r="M99" i="67"/>
  <c r="L99" i="67"/>
  <c r="K99" i="67"/>
  <c r="J99" i="67"/>
  <c r="I99" i="67"/>
  <c r="AI98" i="67"/>
  <c r="AH98" i="67"/>
  <c r="AI97" i="67"/>
  <c r="AH97" i="67"/>
  <c r="AI96" i="67"/>
  <c r="AH96" i="67"/>
  <c r="AI95" i="67"/>
  <c r="AH95" i="67"/>
  <c r="AI94" i="67"/>
  <c r="AH94" i="67"/>
  <c r="AI93" i="67"/>
  <c r="AH93" i="67"/>
  <c r="AI90" i="67"/>
  <c r="AH90" i="67"/>
  <c r="AI88" i="67"/>
  <c r="AH88" i="67"/>
  <c r="AG88" i="67"/>
  <c r="AI87" i="67"/>
  <c r="AH87" i="67"/>
  <c r="AI86" i="67"/>
  <c r="AH86" i="67"/>
  <c r="AI85" i="67"/>
  <c r="AH85" i="67"/>
  <c r="AG84" i="67"/>
  <c r="AF84" i="67"/>
  <c r="AE5" i="67" s="1"/>
  <c r="AE84" i="67"/>
  <c r="AD5" i="67" s="1"/>
  <c r="AD84" i="67"/>
  <c r="AD100" i="67" s="1"/>
  <c r="AC84" i="67"/>
  <c r="AB5" i="67" s="1"/>
  <c r="AB100" i="67"/>
  <c r="AA84" i="67"/>
  <c r="AA100" i="67" s="1"/>
  <c r="Z84" i="67"/>
  <c r="Y84" i="67"/>
  <c r="Y100" i="67" s="1"/>
  <c r="X84" i="67"/>
  <c r="W5" i="67" s="1"/>
  <c r="W84" i="67"/>
  <c r="V5" i="67" s="1"/>
  <c r="V84" i="67"/>
  <c r="U84" i="67"/>
  <c r="U100" i="67" s="1"/>
  <c r="T84" i="67"/>
  <c r="T100" i="67" s="1"/>
  <c r="S84" i="67"/>
  <c r="S100" i="67" s="1"/>
  <c r="R84" i="67"/>
  <c r="R100" i="67" s="1"/>
  <c r="Q84" i="67"/>
  <c r="Q100" i="67" s="1"/>
  <c r="P84" i="67"/>
  <c r="O5" i="67" s="1"/>
  <c r="O84" i="67"/>
  <c r="N5" i="67" s="1"/>
  <c r="N84" i="67"/>
  <c r="N100" i="67" s="1"/>
  <c r="M84" i="67"/>
  <c r="L5" i="67" s="1"/>
  <c r="L84" i="67"/>
  <c r="L100" i="67" s="1"/>
  <c r="K84" i="67"/>
  <c r="K100" i="67" s="1"/>
  <c r="J84" i="67"/>
  <c r="J100" i="67" s="1"/>
  <c r="I84" i="67"/>
  <c r="I100" i="67" s="1"/>
  <c r="F5" i="67"/>
  <c r="AI83" i="67"/>
  <c r="AH83" i="67"/>
  <c r="AI82" i="67"/>
  <c r="AH82" i="67"/>
  <c r="AI81" i="67"/>
  <c r="AH81" i="67"/>
  <c r="AI80" i="67"/>
  <c r="AH80" i="67"/>
  <c r="AI79" i="67"/>
  <c r="AH79" i="67"/>
  <c r="AI78" i="67"/>
  <c r="AH78" i="67"/>
  <c r="AI77" i="67"/>
  <c r="AH77" i="67"/>
  <c r="AI76" i="67"/>
  <c r="AH76" i="67"/>
  <c r="AI75" i="67"/>
  <c r="AH75" i="67"/>
  <c r="AI74" i="67"/>
  <c r="AH74" i="67"/>
  <c r="AI73" i="67"/>
  <c r="AH73" i="67"/>
  <c r="AG72" i="67"/>
  <c r="AF72" i="67"/>
  <c r="AE72" i="67"/>
  <c r="AD72" i="67"/>
  <c r="AC72" i="67"/>
  <c r="AB72" i="67"/>
  <c r="AA72" i="67"/>
  <c r="Z72" i="67"/>
  <c r="Y72" i="67"/>
  <c r="X72" i="67"/>
  <c r="W72" i="67"/>
  <c r="V72" i="67"/>
  <c r="U72" i="67"/>
  <c r="T72" i="67"/>
  <c r="S72" i="67"/>
  <c r="R72" i="67"/>
  <c r="Q72" i="67"/>
  <c r="P72" i="67"/>
  <c r="O72" i="67"/>
  <c r="N72" i="67"/>
  <c r="M72" i="67"/>
  <c r="L72" i="67"/>
  <c r="AI71" i="67"/>
  <c r="AH71" i="67"/>
  <c r="AI70" i="67"/>
  <c r="AH70" i="67"/>
  <c r="AI69" i="67"/>
  <c r="AH69" i="67"/>
  <c r="AF68" i="67"/>
  <c r="AE68" i="67"/>
  <c r="AD68" i="67"/>
  <c r="AC68" i="67"/>
  <c r="AB68" i="67"/>
  <c r="AA68" i="67"/>
  <c r="Z68" i="67"/>
  <c r="Y68" i="67"/>
  <c r="X68" i="67"/>
  <c r="W68" i="67"/>
  <c r="V68" i="67"/>
  <c r="U68" i="67"/>
  <c r="T68" i="67"/>
  <c r="S68" i="67"/>
  <c r="R68" i="67"/>
  <c r="Q68" i="67"/>
  <c r="P68" i="67"/>
  <c r="O68" i="67"/>
  <c r="N68" i="67"/>
  <c r="M68" i="67"/>
  <c r="L68" i="67"/>
  <c r="K68" i="67"/>
  <c r="J68" i="67"/>
  <c r="I68" i="67"/>
  <c r="AI67" i="67"/>
  <c r="AH67" i="67"/>
  <c r="AG67" i="67"/>
  <c r="AG68" i="67" s="1"/>
  <c r="AI66" i="67"/>
  <c r="AH66" i="67"/>
  <c r="AI65" i="67"/>
  <c r="AH65" i="67"/>
  <c r="AI64" i="67"/>
  <c r="AH64" i="67"/>
  <c r="AI63" i="67"/>
  <c r="AH63" i="67"/>
  <c r="AI62" i="67"/>
  <c r="AH62" i="67"/>
  <c r="AI61" i="67"/>
  <c r="AH61" i="67"/>
  <c r="AI60" i="67"/>
  <c r="AH60" i="67"/>
  <c r="AI59" i="67"/>
  <c r="AH59" i="67"/>
  <c r="AI58" i="67"/>
  <c r="AH58" i="67"/>
  <c r="AI57" i="67"/>
  <c r="AH57" i="67"/>
  <c r="AI56" i="67"/>
  <c r="AH56" i="67"/>
  <c r="AI55" i="67"/>
  <c r="AH55" i="67"/>
  <c r="AG54" i="67"/>
  <c r="AF54" i="67"/>
  <c r="AE54" i="67"/>
  <c r="AD54" i="67"/>
  <c r="AC54" i="67"/>
  <c r="AB54" i="67"/>
  <c r="AA54" i="67"/>
  <c r="Z54" i="67"/>
  <c r="Y54" i="67"/>
  <c r="X54" i="67"/>
  <c r="W54" i="67"/>
  <c r="V54" i="67"/>
  <c r="U54" i="67"/>
  <c r="T54" i="67"/>
  <c r="S54" i="67"/>
  <c r="R54" i="67"/>
  <c r="Q54" i="67"/>
  <c r="P54" i="67"/>
  <c r="O54" i="67"/>
  <c r="N54" i="67"/>
  <c r="M54" i="67"/>
  <c r="AI53" i="67"/>
  <c r="AH53" i="67"/>
  <c r="AI52" i="67"/>
  <c r="AH52" i="67"/>
  <c r="AI51" i="67"/>
  <c r="AH51" i="67"/>
  <c r="AG50" i="67"/>
  <c r="AF50" i="67"/>
  <c r="AE50" i="67"/>
  <c r="AD50" i="67"/>
  <c r="AC50" i="67"/>
  <c r="AB50" i="67"/>
  <c r="AA50" i="67"/>
  <c r="Z50" i="67"/>
  <c r="Y50" i="67"/>
  <c r="X50" i="67"/>
  <c r="W50" i="67"/>
  <c r="V50" i="67"/>
  <c r="U50" i="67"/>
  <c r="T50" i="67"/>
  <c r="S50" i="67"/>
  <c r="R50" i="67"/>
  <c r="Q50" i="67"/>
  <c r="P50" i="67"/>
  <c r="O50" i="67"/>
  <c r="N50" i="67"/>
  <c r="M50" i="67"/>
  <c r="AI48" i="67"/>
  <c r="AH48" i="67"/>
  <c r="AI47" i="67"/>
  <c r="AH47" i="67"/>
  <c r="AI46" i="67"/>
  <c r="AH46" i="67"/>
  <c r="AI45" i="67"/>
  <c r="AH45" i="67"/>
  <c r="AI44" i="67"/>
  <c r="AH44" i="67"/>
  <c r="AI43" i="67"/>
  <c r="AH43" i="67"/>
  <c r="AI42" i="67"/>
  <c r="AH42" i="67"/>
  <c r="AI41" i="67"/>
  <c r="AH41" i="67"/>
  <c r="AI40" i="67"/>
  <c r="AH40" i="67"/>
  <c r="AI39" i="67"/>
  <c r="AH39" i="67"/>
  <c r="AI38" i="67"/>
  <c r="AH38" i="67"/>
  <c r="AI37" i="67"/>
  <c r="AH37" i="67"/>
  <c r="AI36" i="67"/>
  <c r="AH36" i="67"/>
  <c r="AI35" i="67"/>
  <c r="AH35" i="67"/>
  <c r="AI34" i="67"/>
  <c r="AH34" i="67"/>
  <c r="AI33" i="67"/>
  <c r="AH33" i="67"/>
  <c r="AI32" i="67"/>
  <c r="AH32" i="67"/>
  <c r="AI31" i="67"/>
  <c r="AH31" i="67"/>
  <c r="AI30" i="67"/>
  <c r="AH30" i="67"/>
  <c r="AI29" i="67"/>
  <c r="AH29" i="67"/>
  <c r="AI28" i="67"/>
  <c r="AH28" i="67"/>
  <c r="AI27" i="67"/>
  <c r="AH27" i="67"/>
  <c r="AI26" i="67"/>
  <c r="AH26" i="67"/>
  <c r="AI25" i="67"/>
  <c r="AH25" i="67"/>
  <c r="AI24" i="67"/>
  <c r="AH24" i="67"/>
  <c r="AI23" i="67"/>
  <c r="AH23" i="67"/>
  <c r="AI22" i="67"/>
  <c r="AH22" i="67"/>
  <c r="AI21" i="67"/>
  <c r="AH21" i="67"/>
  <c r="AI20" i="67"/>
  <c r="AH20" i="67"/>
  <c r="AI19" i="67"/>
  <c r="AH19" i="67"/>
  <c r="AI18" i="67"/>
  <c r="AH18" i="67"/>
  <c r="AI17" i="67"/>
  <c r="AH17" i="67"/>
  <c r="AI16" i="67"/>
  <c r="AH16" i="67"/>
  <c r="AI15" i="67"/>
  <c r="AH15" i="67"/>
  <c r="AI14" i="67"/>
  <c r="AH14" i="67"/>
  <c r="AI13" i="67"/>
  <c r="AH13" i="67"/>
  <c r="AI12" i="67"/>
  <c r="AH12" i="67"/>
  <c r="AI11" i="67"/>
  <c r="AH11" i="67"/>
  <c r="AF5" i="67"/>
  <c r="Z5" i="67"/>
  <c r="Y5" i="67"/>
  <c r="G5" i="67"/>
  <c r="D5" i="67"/>
  <c r="B5" i="67"/>
  <c r="AG4" i="67"/>
  <c r="K4" i="67"/>
  <c r="E4" i="67"/>
  <c r="H4" i="67" s="1"/>
  <c r="B4" i="67"/>
  <c r="S246" i="67" s="1"/>
  <c r="AG2" i="67"/>
  <c r="AF50" i="66"/>
  <c r="AF54" i="66"/>
  <c r="AF68" i="66"/>
  <c r="AF72" i="66"/>
  <c r="AF84" i="66"/>
  <c r="AF100" i="66" s="1"/>
  <c r="AF99" i="66"/>
  <c r="AF110" i="66"/>
  <c r="T5" i="68" l="1"/>
  <c r="U89" i="68"/>
  <c r="U91" i="68" s="1"/>
  <c r="S5" i="68"/>
  <c r="T89" i="68"/>
  <c r="T91" i="68" s="1"/>
  <c r="R5" i="68"/>
  <c r="S89" i="68"/>
  <c r="S91" i="68" s="1"/>
  <c r="S7" i="68" s="1"/>
  <c r="R100" i="68"/>
  <c r="Q100" i="68"/>
  <c r="R89" i="68"/>
  <c r="R91" i="68" s="1"/>
  <c r="R7" i="68" s="1"/>
  <c r="P100" i="68"/>
  <c r="P89" i="68"/>
  <c r="P91" i="68" s="1"/>
  <c r="AH249" i="68" s="1"/>
  <c r="Q89" i="68"/>
  <c r="Q91" i="68" s="1"/>
  <c r="Q92" i="68" s="1"/>
  <c r="O100" i="68"/>
  <c r="O89" i="68"/>
  <c r="O91" i="68" s="1"/>
  <c r="AG249" i="68" s="1"/>
  <c r="N100" i="68"/>
  <c r="AI72" i="68"/>
  <c r="N89" i="68"/>
  <c r="N91" i="68" s="1"/>
  <c r="N7" i="68" s="1"/>
  <c r="M89" i="68"/>
  <c r="M91" i="68" s="1"/>
  <c r="M92" i="68" s="1"/>
  <c r="L5" i="68"/>
  <c r="K5" i="68"/>
  <c r="L89" i="68"/>
  <c r="L91" i="68" s="1"/>
  <c r="L7" i="68" s="1"/>
  <c r="K89" i="68"/>
  <c r="K91" i="68" s="1"/>
  <c r="K92" i="68" s="1"/>
  <c r="J5" i="68"/>
  <c r="I5" i="68"/>
  <c r="J89" i="68"/>
  <c r="J91" i="68" s="1"/>
  <c r="J92" i="68" s="1"/>
  <c r="AI49" i="68"/>
  <c r="AH49" i="68"/>
  <c r="H5" i="68"/>
  <c r="I89" i="68"/>
  <c r="I91" i="68" s="1"/>
  <c r="AA249" i="68" s="1"/>
  <c r="H100" i="68"/>
  <c r="H89" i="68"/>
  <c r="H91" i="68" s="1"/>
  <c r="H7" i="68" s="1"/>
  <c r="G100" i="68"/>
  <c r="G89" i="68"/>
  <c r="G91" i="68" s="1"/>
  <c r="Y249" i="68" s="1"/>
  <c r="AH113" i="68"/>
  <c r="E100" i="68"/>
  <c r="D5" i="68"/>
  <c r="E89" i="68"/>
  <c r="E91" i="68" s="1"/>
  <c r="E92" i="68" s="1"/>
  <c r="C5" i="68"/>
  <c r="AI54" i="68"/>
  <c r="AI99" i="68"/>
  <c r="AI84" i="68"/>
  <c r="B5" i="68"/>
  <c r="C89" i="68"/>
  <c r="C91" i="68" s="1"/>
  <c r="C92" i="68" s="1"/>
  <c r="AI68" i="68"/>
  <c r="AF5" i="68"/>
  <c r="AI75" i="68"/>
  <c r="B89" i="68"/>
  <c r="B91" i="68" s="1"/>
  <c r="AH54" i="68"/>
  <c r="D246" i="68"/>
  <c r="D92" i="68"/>
  <c r="D7" i="68"/>
  <c r="V249" i="68"/>
  <c r="AQ249" i="68"/>
  <c r="Y92" i="68"/>
  <c r="Y7" i="68"/>
  <c r="K7" i="68"/>
  <c r="Z92" i="68"/>
  <c r="Z7" i="68"/>
  <c r="AR249" i="68"/>
  <c r="L92" i="68"/>
  <c r="AD249" i="68"/>
  <c r="X7" i="68"/>
  <c r="AP249" i="68"/>
  <c r="X92" i="68"/>
  <c r="I92" i="68"/>
  <c r="AG91" i="68"/>
  <c r="T92" i="68"/>
  <c r="T7" i="68"/>
  <c r="AL249" i="68"/>
  <c r="G229" i="68"/>
  <c r="F110" i="68"/>
  <c r="E7" i="68"/>
  <c r="W249" i="68"/>
  <c r="U7" i="68"/>
  <c r="U92" i="68"/>
  <c r="AM249" i="68"/>
  <c r="AC7" i="68"/>
  <c r="AU249" i="68"/>
  <c r="AC92" i="68"/>
  <c r="AA92" i="68"/>
  <c r="AA7" i="68"/>
  <c r="AS249" i="68"/>
  <c r="J232" i="68"/>
  <c r="K232" i="68" s="1"/>
  <c r="L232" i="68" s="1"/>
  <c r="M232" i="68" s="1"/>
  <c r="N232" i="68" s="1"/>
  <c r="O232" i="68" s="1"/>
  <c r="P232" i="68" s="1"/>
  <c r="AF7" i="68"/>
  <c r="AF92" i="68"/>
  <c r="AX249" i="68"/>
  <c r="E110" i="68"/>
  <c r="D270" i="68"/>
  <c r="F234" i="68"/>
  <c r="F7" i="68"/>
  <c r="X249" i="68"/>
  <c r="F92" i="68"/>
  <c r="V7" i="68"/>
  <c r="AN249" i="68"/>
  <c r="AD7" i="68"/>
  <c r="AV249" i="68"/>
  <c r="AD92" i="68"/>
  <c r="AB92" i="68"/>
  <c r="AB7" i="68"/>
  <c r="AT249" i="68"/>
  <c r="AO249" i="68"/>
  <c r="W7" i="68"/>
  <c r="W92" i="68"/>
  <c r="AW249" i="68"/>
  <c r="AE7" i="68"/>
  <c r="AE92" i="68"/>
  <c r="AH50" i="68"/>
  <c r="C270" i="68"/>
  <c r="AH99" i="68"/>
  <c r="E230" i="68"/>
  <c r="B100" i="68"/>
  <c r="E5" i="68"/>
  <c r="M5" i="68"/>
  <c r="U5" i="68"/>
  <c r="AC5" i="68"/>
  <c r="AH72" i="68"/>
  <c r="AH84" i="68"/>
  <c r="AH68" i="68"/>
  <c r="B235" i="68"/>
  <c r="AI50" i="68"/>
  <c r="AF100" i="67"/>
  <c r="AF89" i="67"/>
  <c r="AF91" i="67" s="1"/>
  <c r="AE100" i="67"/>
  <c r="AE89" i="67"/>
  <c r="AE91" i="67" s="1"/>
  <c r="AD89" i="67"/>
  <c r="AD91" i="67" s="1"/>
  <c r="AD7" i="67" s="1"/>
  <c r="AC100" i="67"/>
  <c r="AC89" i="67"/>
  <c r="AC91" i="67" s="1"/>
  <c r="AI49" i="67"/>
  <c r="AB89" i="67"/>
  <c r="AB91" i="67" s="1"/>
  <c r="AB7" i="67" s="1"/>
  <c r="AA89" i="67"/>
  <c r="AA91" i="67" s="1"/>
  <c r="Z100" i="67"/>
  <c r="Z89" i="67"/>
  <c r="Z91" i="67" s="1"/>
  <c r="Y89" i="67"/>
  <c r="Y91" i="67" s="1"/>
  <c r="X5" i="67"/>
  <c r="X100" i="67"/>
  <c r="X89" i="67"/>
  <c r="X91" i="67" s="1"/>
  <c r="W100" i="67"/>
  <c r="V100" i="67"/>
  <c r="W89" i="67"/>
  <c r="W91" i="67" s="1"/>
  <c r="AO249" i="67" s="1"/>
  <c r="V89" i="67"/>
  <c r="V91" i="67" s="1"/>
  <c r="AH49" i="67"/>
  <c r="T5" i="67"/>
  <c r="U89" i="67"/>
  <c r="U91" i="67" s="1"/>
  <c r="T89" i="67"/>
  <c r="T91" i="67" s="1"/>
  <c r="T7" i="67" s="1"/>
  <c r="R5" i="67"/>
  <c r="S89" i="67"/>
  <c r="S91" i="67" s="1"/>
  <c r="S92" i="67" s="1"/>
  <c r="Q5" i="67"/>
  <c r="R89" i="67"/>
  <c r="R91" i="67" s="1"/>
  <c r="P5" i="67"/>
  <c r="Q89" i="67"/>
  <c r="Q91" i="67" s="1"/>
  <c r="P100" i="67"/>
  <c r="AI68" i="67"/>
  <c r="P89" i="67"/>
  <c r="P91" i="67" s="1"/>
  <c r="O100" i="67"/>
  <c r="O89" i="67"/>
  <c r="O91" i="67" s="1"/>
  <c r="AH68" i="67"/>
  <c r="N89" i="67"/>
  <c r="N91" i="67" s="1"/>
  <c r="N92" i="67" s="1"/>
  <c r="AI72" i="67"/>
  <c r="AI54" i="67"/>
  <c r="AH99" i="67"/>
  <c r="M100" i="67"/>
  <c r="L89" i="67"/>
  <c r="L91" i="67" s="1"/>
  <c r="L92" i="67" s="1"/>
  <c r="M89" i="67"/>
  <c r="M91" i="67" s="1"/>
  <c r="M7" i="67" s="1"/>
  <c r="AI99" i="67"/>
  <c r="J5" i="67"/>
  <c r="K89" i="67"/>
  <c r="K91" i="67" s="1"/>
  <c r="I5" i="67"/>
  <c r="J89" i="67"/>
  <c r="J91" i="67" s="1"/>
  <c r="J7" i="67" s="1"/>
  <c r="H5" i="67"/>
  <c r="I89" i="67"/>
  <c r="I91" i="67" s="1"/>
  <c r="I7" i="67" s="1"/>
  <c r="AI84" i="67"/>
  <c r="D246" i="67"/>
  <c r="AG249" i="67"/>
  <c r="O92" i="67"/>
  <c r="O7" i="67"/>
  <c r="AH249" i="67"/>
  <c r="P92" i="67"/>
  <c r="P7" i="67"/>
  <c r="Y249" i="67"/>
  <c r="G7" i="67"/>
  <c r="I92" i="67"/>
  <c r="Z249" i="67"/>
  <c r="H7" i="67"/>
  <c r="AG89" i="67"/>
  <c r="AG3" i="67"/>
  <c r="AG6" i="67" s="1"/>
  <c r="AB92" i="67"/>
  <c r="J92" i="67"/>
  <c r="AB249" i="67"/>
  <c r="Z92" i="67"/>
  <c r="Z7" i="67"/>
  <c r="AR249" i="67"/>
  <c r="S7" i="67"/>
  <c r="AG91" i="67"/>
  <c r="Y92" i="67"/>
  <c r="Y7" i="67"/>
  <c r="AQ249" i="67"/>
  <c r="AW249" i="67"/>
  <c r="AE7" i="67"/>
  <c r="AE92" i="67"/>
  <c r="X92" i="67"/>
  <c r="X7" i="67"/>
  <c r="AP249" i="67"/>
  <c r="AD249" i="67"/>
  <c r="R92" i="67"/>
  <c r="R7" i="67"/>
  <c r="AJ249" i="67"/>
  <c r="AA92" i="67"/>
  <c r="AA7" i="67"/>
  <c r="AS249" i="67"/>
  <c r="G229" i="67"/>
  <c r="J232" i="67"/>
  <c r="K232" i="67" s="1"/>
  <c r="L232" i="67" s="1"/>
  <c r="M232" i="67" s="1"/>
  <c r="N232" i="67" s="1"/>
  <c r="O232" i="67" s="1"/>
  <c r="P232" i="67" s="1"/>
  <c r="AF92" i="67"/>
  <c r="AF7" i="67"/>
  <c r="AX249" i="67"/>
  <c r="K92" i="67"/>
  <c r="K7" i="67"/>
  <c r="AC249" i="67"/>
  <c r="T92" i="67"/>
  <c r="AL249" i="67"/>
  <c r="Q92" i="67"/>
  <c r="Q7" i="67"/>
  <c r="AI249" i="67"/>
  <c r="E7" i="67"/>
  <c r="W249" i="67"/>
  <c r="U7" i="67"/>
  <c r="AM249" i="67"/>
  <c r="U92" i="67"/>
  <c r="AC7" i="67"/>
  <c r="AU249" i="67"/>
  <c r="AC92" i="67"/>
  <c r="F7" i="67"/>
  <c r="X249" i="67"/>
  <c r="N7" i="67"/>
  <c r="AF249" i="67"/>
  <c r="V7" i="67"/>
  <c r="AN249" i="67"/>
  <c r="V92" i="67"/>
  <c r="C7" i="67"/>
  <c r="U249" i="67"/>
  <c r="E230" i="67"/>
  <c r="E234" i="67"/>
  <c r="AH54" i="67"/>
  <c r="C5" i="67"/>
  <c r="K5" i="67"/>
  <c r="S5" i="67"/>
  <c r="AA5" i="67"/>
  <c r="AI50" i="67"/>
  <c r="AH50" i="67"/>
  <c r="E5" i="67"/>
  <c r="M5" i="67"/>
  <c r="U5" i="67"/>
  <c r="AC5" i="67"/>
  <c r="AH72" i="67"/>
  <c r="AH84" i="67"/>
  <c r="AF89" i="66"/>
  <c r="AF91" i="66" s="1"/>
  <c r="AF92" i="66" s="1"/>
  <c r="AE50" i="66"/>
  <c r="AE54" i="66"/>
  <c r="AE68" i="66"/>
  <c r="AE72" i="66"/>
  <c r="AE84" i="66"/>
  <c r="AE89" i="66" s="1"/>
  <c r="AE91" i="66" s="1"/>
  <c r="AE92" i="66" s="1"/>
  <c r="AE99" i="66"/>
  <c r="AE110" i="66"/>
  <c r="AD50" i="66"/>
  <c r="AD54" i="66"/>
  <c r="AD68" i="66"/>
  <c r="AD72" i="66"/>
  <c r="AD84" i="66"/>
  <c r="AD99" i="66"/>
  <c r="AD110" i="66"/>
  <c r="AB50" i="66"/>
  <c r="AB54" i="66"/>
  <c r="AB68" i="66"/>
  <c r="AB72" i="66"/>
  <c r="AB84" i="66"/>
  <c r="AB100" i="66" s="1"/>
  <c r="AB99" i="66"/>
  <c r="AB110" i="66"/>
  <c r="AK249" i="68" l="1"/>
  <c r="S92" i="68"/>
  <c r="Q7" i="68"/>
  <c r="AI249" i="68"/>
  <c r="R92" i="68"/>
  <c r="AJ249" i="68"/>
  <c r="P7" i="68"/>
  <c r="P92" i="68"/>
  <c r="O7" i="68"/>
  <c r="O92" i="68"/>
  <c r="M7" i="68"/>
  <c r="AE249" i="68"/>
  <c r="AF249" i="68"/>
  <c r="N92" i="68"/>
  <c r="AC249" i="68"/>
  <c r="AB249" i="68"/>
  <c r="J7" i="68"/>
  <c r="I7" i="68"/>
  <c r="Z249" i="68"/>
  <c r="H92" i="68"/>
  <c r="G92" i="68"/>
  <c r="G7" i="68"/>
  <c r="B244" i="68"/>
  <c r="C244" i="68"/>
  <c r="AH89" i="68"/>
  <c r="AD92" i="67"/>
  <c r="AV249" i="67"/>
  <c r="U249" i="68"/>
  <c r="C7" i="68"/>
  <c r="AI89" i="68"/>
  <c r="AI100" i="68"/>
  <c r="AH100" i="68"/>
  <c r="E235" i="68"/>
  <c r="F230" i="68"/>
  <c r="E270" i="68"/>
  <c r="G234" i="68"/>
  <c r="B92" i="68"/>
  <c r="AI91" i="68"/>
  <c r="AH91" i="68"/>
  <c r="B7" i="68"/>
  <c r="T249" i="68"/>
  <c r="H229" i="68"/>
  <c r="G110" i="68"/>
  <c r="AT249" i="67"/>
  <c r="AK249" i="67"/>
  <c r="W92" i="67"/>
  <c r="W7" i="67"/>
  <c r="M92" i="67"/>
  <c r="AE249" i="67"/>
  <c r="L7" i="67"/>
  <c r="C244" i="67"/>
  <c r="AH89" i="67"/>
  <c r="B244" i="67"/>
  <c r="AA249" i="67"/>
  <c r="D270" i="67"/>
  <c r="F234" i="67"/>
  <c r="AI89" i="67"/>
  <c r="AI100" i="67"/>
  <c r="AH100" i="67"/>
  <c r="D7" i="67"/>
  <c r="V249" i="67"/>
  <c r="H229" i="67"/>
  <c r="F230" i="67"/>
  <c r="E235" i="67"/>
  <c r="AI91" i="67"/>
  <c r="AH91" i="67"/>
  <c r="B7" i="67"/>
  <c r="T249" i="67"/>
  <c r="AE100" i="66"/>
  <c r="AD89" i="66"/>
  <c r="AD91" i="66" s="1"/>
  <c r="AD92" i="66" s="1"/>
  <c r="AD100" i="66"/>
  <c r="AB89" i="66"/>
  <c r="AB91" i="66" s="1"/>
  <c r="AB92" i="66" s="1"/>
  <c r="A7" i="68" l="1"/>
  <c r="K6" i="68"/>
  <c r="AI92" i="68"/>
  <c r="AH92" i="68"/>
  <c r="I229" i="68"/>
  <c r="H110" i="68"/>
  <c r="G230" i="68"/>
  <c r="F235" i="68"/>
  <c r="F270" i="68"/>
  <c r="H234" i="68"/>
  <c r="K6" i="67"/>
  <c r="AI92" i="67"/>
  <c r="AH92" i="67"/>
  <c r="G230" i="67"/>
  <c r="F235" i="67"/>
  <c r="A7" i="67"/>
  <c r="I229" i="67"/>
  <c r="E270" i="67"/>
  <c r="G234" i="67"/>
  <c r="H230" i="68" l="1"/>
  <c r="G235" i="68"/>
  <c r="G270" i="68"/>
  <c r="I234" i="68"/>
  <c r="I110" i="68"/>
  <c r="J229" i="68"/>
  <c r="J229" i="67"/>
  <c r="F270" i="67"/>
  <c r="H234" i="67"/>
  <c r="H230" i="67"/>
  <c r="G235" i="67"/>
  <c r="K229" i="68" l="1"/>
  <c r="H270" i="68"/>
  <c r="J234" i="68"/>
  <c r="I230" i="68"/>
  <c r="H235" i="68"/>
  <c r="I230" i="67"/>
  <c r="H235" i="67"/>
  <c r="G270" i="67"/>
  <c r="I234" i="67"/>
  <c r="K229" i="67"/>
  <c r="K110" i="68" l="1"/>
  <c r="L229" i="68"/>
  <c r="K234" i="68"/>
  <c r="I270" i="68"/>
  <c r="J230" i="68"/>
  <c r="J110" i="68"/>
  <c r="H270" i="67"/>
  <c r="J234" i="67"/>
  <c r="I110" i="67"/>
  <c r="L229" i="67"/>
  <c r="J230" i="67"/>
  <c r="K230" i="68" l="1"/>
  <c r="J270" i="68"/>
  <c r="L234" i="68"/>
  <c r="M229" i="68"/>
  <c r="L110" i="68"/>
  <c r="M229" i="67"/>
  <c r="K234" i="67"/>
  <c r="I270" i="67"/>
  <c r="J110" i="67"/>
  <c r="K230" i="67"/>
  <c r="M110" i="68" l="1"/>
  <c r="N229" i="68"/>
  <c r="M234" i="68"/>
  <c r="K270" i="68"/>
  <c r="L230" i="68"/>
  <c r="L230" i="67"/>
  <c r="L234" i="67"/>
  <c r="J270" i="67"/>
  <c r="K110" i="67"/>
  <c r="N229" i="67"/>
  <c r="M230" i="68" l="1"/>
  <c r="L270" i="68"/>
  <c r="N234" i="68"/>
  <c r="O229" i="68"/>
  <c r="N110" i="68"/>
  <c r="O229" i="67"/>
  <c r="K270" i="67"/>
  <c r="M234" i="67"/>
  <c r="L110" i="67"/>
  <c r="M230" i="67"/>
  <c r="R113" i="66"/>
  <c r="R49" i="66"/>
  <c r="Q113" i="66"/>
  <c r="Q49" i="66"/>
  <c r="P113" i="66"/>
  <c r="P49" i="66"/>
  <c r="O113" i="66"/>
  <c r="O49" i="66"/>
  <c r="N113" i="66"/>
  <c r="N49" i="66"/>
  <c r="M113" i="66"/>
  <c r="M49" i="66"/>
  <c r="F54" i="66"/>
  <c r="G54" i="66"/>
  <c r="H54" i="66"/>
  <c r="I54" i="66"/>
  <c r="J54" i="66"/>
  <c r="K54" i="66"/>
  <c r="D50" i="66"/>
  <c r="D54" i="66"/>
  <c r="B50" i="66"/>
  <c r="AF274" i="66"/>
  <c r="AE274" i="66"/>
  <c r="AD274" i="66"/>
  <c r="AC274" i="66"/>
  <c r="AB274" i="66"/>
  <c r="AA274" i="66"/>
  <c r="Z274" i="66"/>
  <c r="Y274" i="66"/>
  <c r="X274" i="66"/>
  <c r="W274" i="66"/>
  <c r="V274" i="66"/>
  <c r="U274" i="66"/>
  <c r="T274" i="66"/>
  <c r="S274" i="66"/>
  <c r="R274" i="66"/>
  <c r="Q274" i="66"/>
  <c r="P274" i="66"/>
  <c r="O274" i="66"/>
  <c r="N274" i="66"/>
  <c r="M274" i="66"/>
  <c r="L274" i="66"/>
  <c r="K274" i="66"/>
  <c r="J274" i="66"/>
  <c r="I274" i="66"/>
  <c r="H274" i="66"/>
  <c r="G274" i="66"/>
  <c r="F274" i="66"/>
  <c r="E274" i="66"/>
  <c r="D274" i="66"/>
  <c r="C274" i="66"/>
  <c r="B274" i="66"/>
  <c r="A274" i="66"/>
  <c r="AF273" i="66"/>
  <c r="AE273" i="66"/>
  <c r="AD273" i="66"/>
  <c r="AC273" i="66"/>
  <c r="AB273" i="66"/>
  <c r="AA273" i="66"/>
  <c r="Z273" i="66"/>
  <c r="Y273" i="66"/>
  <c r="X273" i="66"/>
  <c r="W273" i="66"/>
  <c r="V273" i="66"/>
  <c r="U273" i="66"/>
  <c r="T273" i="66"/>
  <c r="S273" i="66"/>
  <c r="R273" i="66"/>
  <c r="Q273" i="66"/>
  <c r="P273" i="66"/>
  <c r="O273" i="66"/>
  <c r="N273" i="66"/>
  <c r="M273" i="66"/>
  <c r="L273" i="66"/>
  <c r="K273" i="66"/>
  <c r="J273" i="66"/>
  <c r="I273" i="66"/>
  <c r="H273" i="66"/>
  <c r="G273" i="66"/>
  <c r="F273" i="66"/>
  <c r="E273" i="66"/>
  <c r="D273" i="66"/>
  <c r="C273" i="66"/>
  <c r="B273" i="66"/>
  <c r="A273" i="66"/>
  <c r="AF272" i="66"/>
  <c r="AE272" i="66"/>
  <c r="AD272" i="66"/>
  <c r="AC272" i="66"/>
  <c r="AB272" i="66"/>
  <c r="AA272" i="66"/>
  <c r="Z272" i="66"/>
  <c r="Y272" i="66"/>
  <c r="X272" i="66"/>
  <c r="W272" i="66"/>
  <c r="V272" i="66"/>
  <c r="U272" i="66"/>
  <c r="T272" i="66"/>
  <c r="S272" i="66"/>
  <c r="R272" i="66"/>
  <c r="Q272" i="66"/>
  <c r="P272" i="66"/>
  <c r="O272" i="66"/>
  <c r="N272" i="66"/>
  <c r="M272" i="66"/>
  <c r="L272" i="66"/>
  <c r="K272" i="66"/>
  <c r="J272" i="66"/>
  <c r="I272" i="66"/>
  <c r="H272" i="66"/>
  <c r="G272" i="66"/>
  <c r="F272" i="66"/>
  <c r="E272" i="66"/>
  <c r="D272" i="66"/>
  <c r="C272" i="66"/>
  <c r="B272" i="66"/>
  <c r="A272" i="66"/>
  <c r="AF271" i="66"/>
  <c r="AE271" i="66"/>
  <c r="AD271" i="66"/>
  <c r="AC271" i="66"/>
  <c r="AB271" i="66"/>
  <c r="AA271" i="66"/>
  <c r="Z271" i="66"/>
  <c r="Y271" i="66"/>
  <c r="X271" i="66"/>
  <c r="W271" i="66"/>
  <c r="V271" i="66"/>
  <c r="U271" i="66"/>
  <c r="T271" i="66"/>
  <c r="S271" i="66"/>
  <c r="R271" i="66"/>
  <c r="Q271" i="66"/>
  <c r="P271" i="66"/>
  <c r="O271" i="66"/>
  <c r="N271" i="66"/>
  <c r="M271" i="66"/>
  <c r="L271" i="66"/>
  <c r="K271" i="66"/>
  <c r="J271" i="66"/>
  <c r="I271" i="66"/>
  <c r="H271" i="66"/>
  <c r="G271" i="66"/>
  <c r="F271" i="66"/>
  <c r="E271" i="66"/>
  <c r="D271" i="66"/>
  <c r="C271" i="66"/>
  <c r="B271" i="66"/>
  <c r="A271" i="66"/>
  <c r="AE270" i="66"/>
  <c r="AD270" i="66"/>
  <c r="AC270" i="66"/>
  <c r="AB270" i="66"/>
  <c r="AA270" i="66"/>
  <c r="Z270" i="66"/>
  <c r="Y270" i="66"/>
  <c r="X270" i="66"/>
  <c r="W270" i="66"/>
  <c r="V270" i="66"/>
  <c r="U270" i="66"/>
  <c r="T270" i="66"/>
  <c r="S270" i="66"/>
  <c r="R270" i="66"/>
  <c r="Q270" i="66"/>
  <c r="P270" i="66"/>
  <c r="B270" i="66"/>
  <c r="S245" i="66"/>
  <c r="AG235" i="66"/>
  <c r="AF235" i="66"/>
  <c r="AE235" i="66"/>
  <c r="AD235" i="66"/>
  <c r="AC235" i="66"/>
  <c r="AB235" i="66"/>
  <c r="AA235" i="66"/>
  <c r="Z235" i="66"/>
  <c r="Y235" i="66"/>
  <c r="X235" i="66"/>
  <c r="W235" i="66"/>
  <c r="V235" i="66"/>
  <c r="U235" i="66"/>
  <c r="T235" i="66"/>
  <c r="S235" i="66"/>
  <c r="R235" i="66"/>
  <c r="Q235" i="66"/>
  <c r="C235" i="66"/>
  <c r="D234" i="66"/>
  <c r="C270" i="66" s="1"/>
  <c r="B234" i="66"/>
  <c r="AF270" i="66" s="1"/>
  <c r="D233" i="66"/>
  <c r="E233" i="66" s="1"/>
  <c r="F233" i="66" s="1"/>
  <c r="G233" i="66" s="1"/>
  <c r="H233" i="66" s="1"/>
  <c r="I233" i="66" s="1"/>
  <c r="J233" i="66" s="1"/>
  <c r="K233" i="66" s="1"/>
  <c r="L233" i="66" s="1"/>
  <c r="M233" i="66" s="1"/>
  <c r="N233" i="66" s="1"/>
  <c r="O233" i="66" s="1"/>
  <c r="P233" i="66" s="1"/>
  <c r="B233" i="66"/>
  <c r="D232" i="66"/>
  <c r="E232" i="66" s="1"/>
  <c r="F232" i="66" s="1"/>
  <c r="G232" i="66" s="1"/>
  <c r="H232" i="66" s="1"/>
  <c r="I232" i="66" s="1"/>
  <c r="B232" i="66"/>
  <c r="D231" i="66"/>
  <c r="E231" i="66" s="1"/>
  <c r="F231" i="66" s="1"/>
  <c r="G231" i="66" s="1"/>
  <c r="H231" i="66" s="1"/>
  <c r="B231" i="66"/>
  <c r="D230" i="66"/>
  <c r="D235" i="66" s="1"/>
  <c r="B230" i="66"/>
  <c r="E229" i="66"/>
  <c r="F229" i="66" s="1"/>
  <c r="D229" i="66"/>
  <c r="B229" i="66"/>
  <c r="B235" i="66" s="1"/>
  <c r="AG227" i="66"/>
  <c r="AF227" i="66"/>
  <c r="AE227" i="66"/>
  <c r="AD227" i="66"/>
  <c r="AC227" i="66"/>
  <c r="AB227" i="66"/>
  <c r="AA227" i="66"/>
  <c r="Z227" i="66"/>
  <c r="Y227" i="66"/>
  <c r="X227" i="66"/>
  <c r="W227" i="66"/>
  <c r="V227" i="66"/>
  <c r="U227" i="66"/>
  <c r="T227" i="66"/>
  <c r="S227" i="66"/>
  <c r="R227" i="66"/>
  <c r="Q227" i="66"/>
  <c r="P227" i="66"/>
  <c r="O227" i="66"/>
  <c r="N227" i="66"/>
  <c r="M227" i="66"/>
  <c r="L227" i="66"/>
  <c r="K227" i="66"/>
  <c r="J227" i="66"/>
  <c r="I227" i="66"/>
  <c r="H227" i="66"/>
  <c r="G227" i="66"/>
  <c r="F227" i="66"/>
  <c r="E227" i="66"/>
  <c r="D227" i="66"/>
  <c r="C227" i="66"/>
  <c r="B227" i="66"/>
  <c r="AI120" i="66"/>
  <c r="AH120" i="66"/>
  <c r="AI119" i="66"/>
  <c r="AH119" i="66"/>
  <c r="AI118" i="66"/>
  <c r="AH118" i="66"/>
  <c r="AI117" i="66"/>
  <c r="AH117" i="66"/>
  <c r="AI116" i="66"/>
  <c r="AH116" i="66"/>
  <c r="AI115" i="66"/>
  <c r="AH115" i="66"/>
  <c r="AI114" i="66"/>
  <c r="AH114" i="66"/>
  <c r="S110" i="66"/>
  <c r="R110" i="66"/>
  <c r="Q110" i="66"/>
  <c r="AI113" i="66"/>
  <c r="AI112" i="66"/>
  <c r="AH112" i="66"/>
  <c r="AI111" i="66"/>
  <c r="AH111" i="66"/>
  <c r="AC110" i="66"/>
  <c r="AA110" i="66"/>
  <c r="Z110" i="66"/>
  <c r="Y110" i="66"/>
  <c r="X110" i="66"/>
  <c r="W110" i="66"/>
  <c r="V110" i="66"/>
  <c r="U110" i="66"/>
  <c r="T110" i="66"/>
  <c r="D110" i="66"/>
  <c r="C110" i="66"/>
  <c r="B110" i="66"/>
  <c r="AI109" i="66"/>
  <c r="AH109" i="66"/>
  <c r="AI108" i="66"/>
  <c r="AH108" i="66"/>
  <c r="AI107" i="66"/>
  <c r="AH107" i="66"/>
  <c r="AI106" i="66"/>
  <c r="AH106" i="66"/>
  <c r="AI105" i="66"/>
  <c r="AH105" i="66"/>
  <c r="AI104" i="66"/>
  <c r="AH104" i="66"/>
  <c r="AI103" i="66"/>
  <c r="AH103" i="66"/>
  <c r="AI102" i="66"/>
  <c r="AH102" i="66"/>
  <c r="AI101" i="66"/>
  <c r="AH101" i="66"/>
  <c r="W100" i="66"/>
  <c r="AC99" i="66"/>
  <c r="AA99" i="66"/>
  <c r="Z99" i="66"/>
  <c r="Y99" i="66"/>
  <c r="X99" i="66"/>
  <c r="W99" i="66"/>
  <c r="V99" i="66"/>
  <c r="U99" i="66"/>
  <c r="T99" i="66"/>
  <c r="S99" i="66"/>
  <c r="R99" i="66"/>
  <c r="Q99" i="66"/>
  <c r="P99" i="66"/>
  <c r="O99" i="66"/>
  <c r="N99" i="66"/>
  <c r="M99" i="66"/>
  <c r="L99" i="66"/>
  <c r="K99" i="66"/>
  <c r="J99" i="66"/>
  <c r="I99" i="66"/>
  <c r="H99" i="66"/>
  <c r="G99" i="66"/>
  <c r="F99" i="66"/>
  <c r="E99" i="66"/>
  <c r="D99" i="66"/>
  <c r="C99" i="66"/>
  <c r="B99" i="66"/>
  <c r="AI98" i="66"/>
  <c r="AH98" i="66"/>
  <c r="AI97" i="66"/>
  <c r="AH97" i="66"/>
  <c r="AI96" i="66"/>
  <c r="AH96" i="66"/>
  <c r="AI95" i="66"/>
  <c r="AH95" i="66"/>
  <c r="AI94" i="66"/>
  <c r="AH94" i="66"/>
  <c r="AI93" i="66"/>
  <c r="AH93" i="66"/>
  <c r="AI90" i="66"/>
  <c r="AH90" i="66"/>
  <c r="AI88" i="66"/>
  <c r="AH88" i="66"/>
  <c r="AG88" i="66"/>
  <c r="AI87" i="66"/>
  <c r="AH87" i="66"/>
  <c r="AI86" i="66"/>
  <c r="AH86" i="66"/>
  <c r="AI85" i="66"/>
  <c r="AH85" i="66"/>
  <c r="AG84" i="66"/>
  <c r="AC84" i="66"/>
  <c r="AC100" i="66" s="1"/>
  <c r="AA84" i="66"/>
  <c r="AA100" i="66" s="1"/>
  <c r="Z84" i="66"/>
  <c r="Z100" i="66" s="1"/>
  <c r="Y84" i="66"/>
  <c r="Y100" i="66" s="1"/>
  <c r="X84" i="66"/>
  <c r="X100" i="66" s="1"/>
  <c r="W84" i="66"/>
  <c r="V84" i="66"/>
  <c r="U84" i="66"/>
  <c r="U100" i="66" s="1"/>
  <c r="T84" i="66"/>
  <c r="T100" i="66" s="1"/>
  <c r="S84" i="66"/>
  <c r="S100" i="66" s="1"/>
  <c r="R84" i="66"/>
  <c r="Q84" i="66"/>
  <c r="Q100" i="66" s="1"/>
  <c r="P84" i="66"/>
  <c r="O84" i="66"/>
  <c r="O100" i="66" s="1"/>
  <c r="N84" i="66"/>
  <c r="M84" i="66"/>
  <c r="M100" i="66" s="1"/>
  <c r="L84" i="66"/>
  <c r="L100" i="66" s="1"/>
  <c r="K84" i="66"/>
  <c r="K100" i="66" s="1"/>
  <c r="J84" i="66"/>
  <c r="J100" i="66" s="1"/>
  <c r="I84" i="66"/>
  <c r="I100" i="66" s="1"/>
  <c r="H84" i="66"/>
  <c r="H100" i="66" s="1"/>
  <c r="G84" i="66"/>
  <c r="G100" i="66" s="1"/>
  <c r="F84" i="66"/>
  <c r="F100" i="66" s="1"/>
  <c r="E84" i="66"/>
  <c r="D5" i="66" s="1"/>
  <c r="D84" i="66"/>
  <c r="D100" i="66" s="1"/>
  <c r="C84" i="66"/>
  <c r="C100" i="66" s="1"/>
  <c r="B84" i="66"/>
  <c r="AF5" i="66" s="1"/>
  <c r="AI83" i="66"/>
  <c r="AH83" i="66"/>
  <c r="AI82" i="66"/>
  <c r="AH82" i="66"/>
  <c r="AI81" i="66"/>
  <c r="AH81" i="66"/>
  <c r="AI80" i="66"/>
  <c r="AH80" i="66"/>
  <c r="AI79" i="66"/>
  <c r="AH79" i="66"/>
  <c r="AI78" i="66"/>
  <c r="AH78" i="66"/>
  <c r="AI77" i="66"/>
  <c r="AH77" i="66"/>
  <c r="AI76" i="66"/>
  <c r="AH76" i="66"/>
  <c r="AI75" i="66"/>
  <c r="AH75" i="66"/>
  <c r="AI74" i="66"/>
  <c r="AH74" i="66"/>
  <c r="AI73" i="66"/>
  <c r="AH73" i="66"/>
  <c r="AG72" i="66"/>
  <c r="AG91" i="66" s="1"/>
  <c r="AC72" i="66"/>
  <c r="AA72" i="66"/>
  <c r="Z72" i="66"/>
  <c r="Y72" i="66"/>
  <c r="X72" i="66"/>
  <c r="W72" i="66"/>
  <c r="V72" i="66"/>
  <c r="U72" i="66"/>
  <c r="T72" i="66"/>
  <c r="S72" i="66"/>
  <c r="R72" i="66"/>
  <c r="Q72" i="66"/>
  <c r="P72" i="66"/>
  <c r="O72" i="66"/>
  <c r="N72" i="66"/>
  <c r="M72" i="66"/>
  <c r="L72" i="66"/>
  <c r="B72" i="66"/>
  <c r="AI71" i="66"/>
  <c r="AH71" i="66"/>
  <c r="AI70" i="66"/>
  <c r="AH70" i="66"/>
  <c r="AI69" i="66"/>
  <c r="AH69" i="66"/>
  <c r="AC68" i="66"/>
  <c r="AA68" i="66"/>
  <c r="Z68" i="66"/>
  <c r="Y68" i="66"/>
  <c r="X68" i="66"/>
  <c r="W68" i="66"/>
  <c r="V68" i="66"/>
  <c r="U68" i="66"/>
  <c r="T68" i="66"/>
  <c r="S68" i="66"/>
  <c r="R68" i="66"/>
  <c r="Q68" i="66"/>
  <c r="P68" i="66"/>
  <c r="O68" i="66"/>
  <c r="N68" i="66"/>
  <c r="M68" i="66"/>
  <c r="L68" i="66"/>
  <c r="K68" i="66"/>
  <c r="J68" i="66"/>
  <c r="I68" i="66"/>
  <c r="H68" i="66"/>
  <c r="G68" i="66"/>
  <c r="F68" i="66"/>
  <c r="E68" i="66"/>
  <c r="D68" i="66"/>
  <c r="C68" i="66"/>
  <c r="B68" i="66"/>
  <c r="AI67" i="66"/>
  <c r="AH67" i="66"/>
  <c r="AG67" i="66"/>
  <c r="AG68" i="66" s="1"/>
  <c r="AI66" i="66"/>
  <c r="AH66" i="66"/>
  <c r="AI65" i="66"/>
  <c r="AH65" i="66"/>
  <c r="AI64" i="66"/>
  <c r="AH64" i="66"/>
  <c r="AI63" i="66"/>
  <c r="AH63" i="66"/>
  <c r="AI62" i="66"/>
  <c r="AH62" i="66"/>
  <c r="AI61" i="66"/>
  <c r="AH61" i="66"/>
  <c r="AI60" i="66"/>
  <c r="AH60" i="66"/>
  <c r="AI59" i="66"/>
  <c r="AH59" i="66"/>
  <c r="AI58" i="66"/>
  <c r="AH58" i="66"/>
  <c r="AI57" i="66"/>
  <c r="AH57" i="66"/>
  <c r="AI56" i="66"/>
  <c r="AH56" i="66"/>
  <c r="AI55" i="66"/>
  <c r="AH55" i="66"/>
  <c r="AG54" i="66"/>
  <c r="AC54" i="66"/>
  <c r="AA54" i="66"/>
  <c r="Z54" i="66"/>
  <c r="Y54" i="66"/>
  <c r="X54" i="66"/>
  <c r="W54" i="66"/>
  <c r="V54" i="66"/>
  <c r="U54" i="66"/>
  <c r="T54" i="66"/>
  <c r="S54" i="66"/>
  <c r="R54" i="66"/>
  <c r="Q54" i="66"/>
  <c r="P54" i="66"/>
  <c r="O54" i="66"/>
  <c r="N54" i="66"/>
  <c r="M54" i="66"/>
  <c r="L54" i="66"/>
  <c r="E54" i="66"/>
  <c r="C54" i="66"/>
  <c r="B54" i="66"/>
  <c r="AI53" i="66"/>
  <c r="AH53" i="66"/>
  <c r="AI52" i="66"/>
  <c r="AH52" i="66"/>
  <c r="AI51" i="66"/>
  <c r="AH51" i="66"/>
  <c r="AG50" i="66"/>
  <c r="AC50" i="66"/>
  <c r="AA50" i="66"/>
  <c r="Z50" i="66"/>
  <c r="Y50" i="66"/>
  <c r="X50" i="66"/>
  <c r="W50" i="66"/>
  <c r="V50" i="66"/>
  <c r="U50" i="66"/>
  <c r="T50" i="66"/>
  <c r="S50" i="66"/>
  <c r="R50" i="66"/>
  <c r="P50" i="66"/>
  <c r="M50" i="66"/>
  <c r="L50" i="66"/>
  <c r="K50" i="66"/>
  <c r="J50" i="66"/>
  <c r="I50" i="66"/>
  <c r="H50" i="66"/>
  <c r="G50" i="66"/>
  <c r="F50" i="66"/>
  <c r="E50" i="66"/>
  <c r="C50" i="66"/>
  <c r="AH49" i="66"/>
  <c r="AI49" i="66"/>
  <c r="AI48" i="66"/>
  <c r="AH48" i="66"/>
  <c r="AI47" i="66"/>
  <c r="AH47" i="66"/>
  <c r="AI46" i="66"/>
  <c r="AH46" i="66"/>
  <c r="AI45" i="66"/>
  <c r="AH45" i="66"/>
  <c r="AI44" i="66"/>
  <c r="AH44" i="66"/>
  <c r="AI43" i="66"/>
  <c r="AH43" i="66"/>
  <c r="AI42" i="66"/>
  <c r="AH42" i="66"/>
  <c r="AI41" i="66"/>
  <c r="AH41" i="66"/>
  <c r="AI40" i="66"/>
  <c r="AH40" i="66"/>
  <c r="AH39" i="66"/>
  <c r="AI39" i="66"/>
  <c r="AI38" i="66"/>
  <c r="AH38" i="66"/>
  <c r="AI37" i="66"/>
  <c r="AH37" i="66"/>
  <c r="AI36" i="66"/>
  <c r="AH36" i="66"/>
  <c r="AI35" i="66"/>
  <c r="AH35" i="66"/>
  <c r="AI34" i="66"/>
  <c r="AH34" i="66"/>
  <c r="AI33" i="66"/>
  <c r="AH33" i="66"/>
  <c r="AI32" i="66"/>
  <c r="AH32" i="66"/>
  <c r="AI31" i="66"/>
  <c r="AH31" i="66"/>
  <c r="AI30" i="66"/>
  <c r="AH30" i="66"/>
  <c r="AI29" i="66"/>
  <c r="AH29" i="66"/>
  <c r="AI28" i="66"/>
  <c r="AH28" i="66"/>
  <c r="O50" i="66"/>
  <c r="AI27" i="66"/>
  <c r="AI26" i="66"/>
  <c r="AH26" i="66"/>
  <c r="AI25" i="66"/>
  <c r="AH25" i="66"/>
  <c r="AI24" i="66"/>
  <c r="AH24" i="66"/>
  <c r="AI23" i="66"/>
  <c r="AH23" i="66"/>
  <c r="Q50" i="66"/>
  <c r="AI22" i="66"/>
  <c r="AH22" i="66"/>
  <c r="AI21" i="66"/>
  <c r="AH21" i="66"/>
  <c r="AI20" i="66"/>
  <c r="AH20" i="66"/>
  <c r="AI19" i="66"/>
  <c r="AH19" i="66"/>
  <c r="AI18" i="66"/>
  <c r="AH18" i="66"/>
  <c r="AI17" i="66"/>
  <c r="AH17" i="66"/>
  <c r="AI16" i="66"/>
  <c r="AH16" i="66"/>
  <c r="AI15" i="66"/>
  <c r="AH15" i="66"/>
  <c r="AI14" i="66"/>
  <c r="AH14" i="66"/>
  <c r="AI13" i="66"/>
  <c r="AH13" i="66"/>
  <c r="AI12" i="66"/>
  <c r="AH12" i="66"/>
  <c r="AI11" i="66"/>
  <c r="AH11" i="66"/>
  <c r="AE5" i="66"/>
  <c r="AD5" i="66"/>
  <c r="Y5" i="66"/>
  <c r="V5" i="66"/>
  <c r="AG4" i="66"/>
  <c r="K4" i="66"/>
  <c r="E4" i="66"/>
  <c r="H4" i="66" s="1"/>
  <c r="B4" i="66"/>
  <c r="S246" i="66" s="1"/>
  <c r="AG2" i="66"/>
  <c r="AF50" i="65"/>
  <c r="AF54" i="65"/>
  <c r="AF68" i="65"/>
  <c r="AF72" i="65"/>
  <c r="AE50" i="65"/>
  <c r="AE54" i="65"/>
  <c r="AE68" i="65"/>
  <c r="AE72" i="65"/>
  <c r="AD110" i="65"/>
  <c r="AE110" i="65"/>
  <c r="AF110" i="65"/>
  <c r="AD50" i="65"/>
  <c r="AD54" i="65"/>
  <c r="AD68" i="65"/>
  <c r="AD72" i="65"/>
  <c r="AD84" i="65"/>
  <c r="AC50" i="65"/>
  <c r="AC54" i="65"/>
  <c r="AC68" i="65"/>
  <c r="P229" i="68" l="1"/>
  <c r="M270" i="68"/>
  <c r="O234" i="68"/>
  <c r="N230" i="68"/>
  <c r="L270" i="67"/>
  <c r="N234" i="67"/>
  <c r="M110" i="67"/>
  <c r="N230" i="67"/>
  <c r="P229" i="67"/>
  <c r="AB5" i="66"/>
  <c r="X5" i="66"/>
  <c r="W5" i="66"/>
  <c r="X89" i="66"/>
  <c r="X91" i="66" s="1"/>
  <c r="V100" i="66"/>
  <c r="T89" i="66"/>
  <c r="T91" i="66" s="1"/>
  <c r="R5" i="66"/>
  <c r="R100" i="66"/>
  <c r="Q5" i="66"/>
  <c r="P5" i="66"/>
  <c r="P89" i="66"/>
  <c r="P91" i="66" s="1"/>
  <c r="P100" i="66"/>
  <c r="O5" i="66"/>
  <c r="N5" i="66"/>
  <c r="O89" i="66"/>
  <c r="O91" i="66" s="1"/>
  <c r="AG249" i="66" s="1"/>
  <c r="N100" i="66"/>
  <c r="M89" i="66"/>
  <c r="M91" i="66" s="1"/>
  <c r="AE249" i="66" s="1"/>
  <c r="I5" i="66"/>
  <c r="H5" i="66"/>
  <c r="F5" i="66"/>
  <c r="AH54" i="66"/>
  <c r="L89" i="66"/>
  <c r="L91" i="66" s="1"/>
  <c r="L92" i="66" s="1"/>
  <c r="G5" i="66"/>
  <c r="F89" i="66"/>
  <c r="F91" i="66" s="1"/>
  <c r="F92" i="66" s="1"/>
  <c r="I89" i="66"/>
  <c r="I91" i="66" s="1"/>
  <c r="AA249" i="66" s="1"/>
  <c r="E89" i="66"/>
  <c r="E91" i="66" s="1"/>
  <c r="W249" i="66" s="1"/>
  <c r="D89" i="66"/>
  <c r="D91" i="66" s="1"/>
  <c r="D92" i="66" s="1"/>
  <c r="AI72" i="66"/>
  <c r="Y89" i="66"/>
  <c r="Y91" i="66" s="1"/>
  <c r="Y7" i="66" s="1"/>
  <c r="AH72" i="66"/>
  <c r="Q89" i="66"/>
  <c r="Q91" i="66" s="1"/>
  <c r="Q92" i="66" s="1"/>
  <c r="B89" i="66"/>
  <c r="B91" i="66" s="1"/>
  <c r="T5" i="66"/>
  <c r="L5" i="66"/>
  <c r="E100" i="66"/>
  <c r="J5" i="66"/>
  <c r="B5" i="66"/>
  <c r="AI84" i="66"/>
  <c r="AI99" i="66"/>
  <c r="AD7" i="66"/>
  <c r="V89" i="66"/>
  <c r="V91" i="66" s="1"/>
  <c r="V7" i="66" s="1"/>
  <c r="Z5" i="66"/>
  <c r="G89" i="66"/>
  <c r="G91" i="66" s="1"/>
  <c r="Y249" i="66" s="1"/>
  <c r="AH68" i="66"/>
  <c r="AI68" i="66"/>
  <c r="U89" i="66"/>
  <c r="U91" i="66" s="1"/>
  <c r="U92" i="66" s="1"/>
  <c r="AC89" i="66"/>
  <c r="AC91" i="66" s="1"/>
  <c r="AU249" i="66" s="1"/>
  <c r="W89" i="66"/>
  <c r="W91" i="66" s="1"/>
  <c r="AO249" i="66" s="1"/>
  <c r="AW249" i="66"/>
  <c r="R89" i="66"/>
  <c r="R91" i="66" s="1"/>
  <c r="R92" i="66" s="1"/>
  <c r="Z89" i="66"/>
  <c r="Z91" i="66" s="1"/>
  <c r="Z7" i="66" s="1"/>
  <c r="H89" i="66"/>
  <c r="H91" i="66" s="1"/>
  <c r="H7" i="66" s="1"/>
  <c r="S89" i="66"/>
  <c r="S91" i="66" s="1"/>
  <c r="S92" i="66" s="1"/>
  <c r="AA89" i="66"/>
  <c r="AA91" i="66" s="1"/>
  <c r="AA92" i="66" s="1"/>
  <c r="J89" i="66"/>
  <c r="J91" i="66" s="1"/>
  <c r="J92" i="66" s="1"/>
  <c r="C89" i="66"/>
  <c r="C91" i="66" s="1"/>
  <c r="U249" i="66" s="1"/>
  <c r="K89" i="66"/>
  <c r="K91" i="66" s="1"/>
  <c r="K92" i="66" s="1"/>
  <c r="D246" i="66"/>
  <c r="G229" i="66"/>
  <c r="X92" i="66"/>
  <c r="X7" i="66"/>
  <c r="AP249" i="66"/>
  <c r="AG89" i="66"/>
  <c r="AG3" i="66"/>
  <c r="AG6" i="66" s="1"/>
  <c r="AX249" i="66"/>
  <c r="AF7" i="66"/>
  <c r="P7" i="66"/>
  <c r="P92" i="66"/>
  <c r="AH249" i="66"/>
  <c r="D7" i="66"/>
  <c r="V249" i="66"/>
  <c r="T92" i="66"/>
  <c r="T7" i="66"/>
  <c r="AL249" i="66"/>
  <c r="AT249" i="66"/>
  <c r="AB7" i="66"/>
  <c r="J232" i="66"/>
  <c r="K232" i="66" s="1"/>
  <c r="L232" i="66" s="1"/>
  <c r="M232" i="66" s="1"/>
  <c r="N232" i="66" s="1"/>
  <c r="O232" i="66" s="1"/>
  <c r="P232" i="66" s="1"/>
  <c r="O92" i="66"/>
  <c r="C5" i="66"/>
  <c r="K5" i="66"/>
  <c r="S5" i="66"/>
  <c r="AA5" i="66"/>
  <c r="AI54" i="66"/>
  <c r="AH99" i="66"/>
  <c r="AH113" i="66"/>
  <c r="E230" i="66"/>
  <c r="E234" i="66"/>
  <c r="E5" i="66"/>
  <c r="M5" i="66"/>
  <c r="U5" i="66"/>
  <c r="AC5" i="66"/>
  <c r="B100" i="66"/>
  <c r="N50" i="66"/>
  <c r="N89" i="66" s="1"/>
  <c r="N91" i="66" s="1"/>
  <c r="AH84" i="66"/>
  <c r="AH27" i="66"/>
  <c r="AD89" i="65"/>
  <c r="O230" i="68" l="1"/>
  <c r="N270" i="68"/>
  <c r="P234" i="68"/>
  <c r="O270" i="68" s="1"/>
  <c r="O110" i="68"/>
  <c r="O230" i="67"/>
  <c r="M270" i="67"/>
  <c r="O234" i="67"/>
  <c r="N110" i="67"/>
  <c r="U7" i="66"/>
  <c r="AM249" i="66"/>
  <c r="Y92" i="66"/>
  <c r="AQ249" i="66"/>
  <c r="AK249" i="66"/>
  <c r="AI249" i="66"/>
  <c r="Q7" i="66"/>
  <c r="O7" i="66"/>
  <c r="M92" i="66"/>
  <c r="M7" i="66"/>
  <c r="AD249" i="66"/>
  <c r="L7" i="66"/>
  <c r="I7" i="66"/>
  <c r="I92" i="66"/>
  <c r="AB249" i="66"/>
  <c r="Z249" i="66"/>
  <c r="H92" i="66"/>
  <c r="X249" i="66"/>
  <c r="F7" i="66"/>
  <c r="G92" i="66"/>
  <c r="G7" i="66"/>
  <c r="E92" i="66"/>
  <c r="E7" i="66"/>
  <c r="R7" i="66"/>
  <c r="AJ249" i="66"/>
  <c r="S7" i="66"/>
  <c r="AR249" i="66"/>
  <c r="Z92" i="66"/>
  <c r="AV249" i="66"/>
  <c r="J7" i="66"/>
  <c r="AC92" i="66"/>
  <c r="V92" i="66"/>
  <c r="AC7" i="66"/>
  <c r="AN249" i="66"/>
  <c r="AA7" i="66"/>
  <c r="B244" i="66"/>
  <c r="W92" i="66"/>
  <c r="AE7" i="66"/>
  <c r="C7" i="66"/>
  <c r="W7" i="66"/>
  <c r="AS249" i="66"/>
  <c r="K7" i="66"/>
  <c r="C92" i="66"/>
  <c r="AC249" i="66"/>
  <c r="AH50" i="66"/>
  <c r="D270" i="66"/>
  <c r="F234" i="66"/>
  <c r="E110" i="66"/>
  <c r="F230" i="66"/>
  <c r="E235" i="66"/>
  <c r="H229" i="66"/>
  <c r="N7" i="66"/>
  <c r="AF249" i="66"/>
  <c r="N92" i="66"/>
  <c r="C244" i="66"/>
  <c r="AI100" i="66"/>
  <c r="AH100" i="66"/>
  <c r="B92" i="66"/>
  <c r="AI91" i="66"/>
  <c r="AH91" i="66"/>
  <c r="T249" i="66"/>
  <c r="B7" i="66"/>
  <c r="AI89" i="66"/>
  <c r="AI50" i="66"/>
  <c r="AH89" i="66"/>
  <c r="AI110" i="68" l="1"/>
  <c r="AH110" i="68"/>
  <c r="P230" i="68"/>
  <c r="N270" i="67"/>
  <c r="P234" i="67"/>
  <c r="O270" i="67" s="1"/>
  <c r="O110" i="67"/>
  <c r="P230" i="67"/>
  <c r="K6" i="66"/>
  <c r="A7" i="66"/>
  <c r="E270" i="66"/>
  <c r="G234" i="66"/>
  <c r="F110" i="66"/>
  <c r="I229" i="66"/>
  <c r="G230" i="66"/>
  <c r="F235" i="66"/>
  <c r="AI92" i="66"/>
  <c r="AH92" i="66"/>
  <c r="AH110" i="67" l="1"/>
  <c r="AI110" i="67"/>
  <c r="J229" i="66"/>
  <c r="F270" i="66"/>
  <c r="H234" i="66"/>
  <c r="G110" i="66"/>
  <c r="H230" i="66"/>
  <c r="G235" i="66"/>
  <c r="K229" i="66" l="1"/>
  <c r="G270" i="66"/>
  <c r="I234" i="66"/>
  <c r="H110" i="66"/>
  <c r="I230" i="66"/>
  <c r="H235" i="66"/>
  <c r="L229" i="66" l="1"/>
  <c r="H270" i="66"/>
  <c r="J234" i="66"/>
  <c r="I110" i="66"/>
  <c r="J230" i="66"/>
  <c r="K230" i="66" l="1"/>
  <c r="K234" i="66"/>
  <c r="I270" i="66"/>
  <c r="J110" i="66"/>
  <c r="M229" i="66"/>
  <c r="N229" i="66" l="1"/>
  <c r="L234" i="66"/>
  <c r="J270" i="66"/>
  <c r="K110" i="66"/>
  <c r="L230" i="66"/>
  <c r="AA49" i="65"/>
  <c r="AA50" i="65"/>
  <c r="AA54" i="65"/>
  <c r="AA68" i="65"/>
  <c r="AA72" i="65"/>
  <c r="AA84" i="65"/>
  <c r="AA100" i="65" s="1"/>
  <c r="AA99" i="65"/>
  <c r="AA110" i="65"/>
  <c r="Z49" i="65"/>
  <c r="Z50" i="65"/>
  <c r="Z54" i="65"/>
  <c r="Z68" i="65"/>
  <c r="Z72" i="65"/>
  <c r="Z84" i="65"/>
  <c r="Z100" i="65" s="1"/>
  <c r="Z99" i="65"/>
  <c r="Z110" i="65"/>
  <c r="Y49" i="65"/>
  <c r="Y50" i="65"/>
  <c r="Y54" i="65"/>
  <c r="Y68" i="65"/>
  <c r="Y72" i="65"/>
  <c r="Y84" i="65"/>
  <c r="Y100" i="65" s="1"/>
  <c r="Y99" i="65"/>
  <c r="Y110" i="65"/>
  <c r="X49" i="65"/>
  <c r="X50" i="65"/>
  <c r="X54" i="65"/>
  <c r="X68" i="65"/>
  <c r="X72" i="65"/>
  <c r="X84" i="65"/>
  <c r="X100" i="65" s="1"/>
  <c r="X99" i="65"/>
  <c r="X110" i="65"/>
  <c r="W49" i="65"/>
  <c r="W50" i="65"/>
  <c r="W54" i="65"/>
  <c r="W68" i="65"/>
  <c r="W72" i="65"/>
  <c r="W84" i="65"/>
  <c r="W100" i="65" s="1"/>
  <c r="W99" i="65"/>
  <c r="W110" i="65"/>
  <c r="V49" i="65"/>
  <c r="U49" i="65"/>
  <c r="M230" i="66" l="1"/>
  <c r="K270" i="66"/>
  <c r="M234" i="66"/>
  <c r="L110" i="66"/>
  <c r="O229" i="66"/>
  <c r="AA89" i="65"/>
  <c r="AA91" i="65" s="1"/>
  <c r="AA92" i="65" s="1"/>
  <c r="Z89" i="65"/>
  <c r="Z91" i="65" s="1"/>
  <c r="Z92" i="65" s="1"/>
  <c r="Y89" i="65"/>
  <c r="Y91" i="65" s="1"/>
  <c r="Y92" i="65" s="1"/>
  <c r="X89" i="65"/>
  <c r="X91" i="65" s="1"/>
  <c r="X92" i="65" s="1"/>
  <c r="W89" i="65"/>
  <c r="W91" i="65" s="1"/>
  <c r="W92" i="65" s="1"/>
  <c r="T49" i="65"/>
  <c r="T50" i="65"/>
  <c r="T54" i="65"/>
  <c r="P229" i="66" l="1"/>
  <c r="L270" i="66"/>
  <c r="N234" i="66"/>
  <c r="M110" i="66"/>
  <c r="N230" i="66"/>
  <c r="O230" i="66" l="1"/>
  <c r="M270" i="66"/>
  <c r="O234" i="66"/>
  <c r="N110" i="66"/>
  <c r="N270" i="66" l="1"/>
  <c r="P234" i="66"/>
  <c r="O270" i="66" s="1"/>
  <c r="O110" i="66"/>
  <c r="P230" i="66"/>
  <c r="AI110" i="66" l="1"/>
  <c r="AH110" i="66"/>
  <c r="S49" i="65" l="1"/>
  <c r="S50" i="65"/>
  <c r="S54" i="65"/>
  <c r="S68" i="65"/>
  <c r="S72" i="65"/>
  <c r="S84" i="65"/>
  <c r="S100" i="65" s="1"/>
  <c r="S89" i="65"/>
  <c r="S91" i="65" s="1"/>
  <c r="S92" i="65" s="1"/>
  <c r="S99" i="65"/>
  <c r="S113" i="65"/>
  <c r="S110" i="65" s="1"/>
  <c r="R113" i="65"/>
  <c r="R49" i="65"/>
  <c r="Q113" i="65"/>
  <c r="Q49" i="65"/>
  <c r="Q23" i="65"/>
  <c r="P113" i="65"/>
  <c r="P49" i="65"/>
  <c r="O113" i="65"/>
  <c r="O49" i="65"/>
  <c r="O27" i="65"/>
  <c r="O39" i="65"/>
  <c r="N113" i="65"/>
  <c r="N39" i="65"/>
  <c r="N27" i="65"/>
  <c r="N49" i="65"/>
  <c r="M113" i="65" l="1"/>
  <c r="M49" i="65"/>
  <c r="L49" i="65"/>
  <c r="K49" i="65"/>
  <c r="J49" i="65"/>
  <c r="I49" i="65"/>
  <c r="H49" i="65"/>
  <c r="AF274" i="65" l="1"/>
  <c r="AE274" i="65"/>
  <c r="AD274" i="65"/>
  <c r="AC274" i="65"/>
  <c r="AB274" i="65"/>
  <c r="AA274" i="65"/>
  <c r="Z274" i="65"/>
  <c r="Y274" i="65"/>
  <c r="X274" i="65"/>
  <c r="W274" i="65"/>
  <c r="V274" i="65"/>
  <c r="U274" i="65"/>
  <c r="T274" i="65"/>
  <c r="S274" i="65"/>
  <c r="R274" i="65"/>
  <c r="Q274" i="65"/>
  <c r="P274" i="65"/>
  <c r="O274" i="65"/>
  <c r="N274" i="65"/>
  <c r="M274" i="65"/>
  <c r="L274" i="65"/>
  <c r="K274" i="65"/>
  <c r="J274" i="65"/>
  <c r="I274" i="65"/>
  <c r="H274" i="65"/>
  <c r="G274" i="65"/>
  <c r="F274" i="65"/>
  <c r="E274" i="65"/>
  <c r="D274" i="65"/>
  <c r="C274" i="65"/>
  <c r="B274" i="65"/>
  <c r="A274" i="65"/>
  <c r="AF273" i="65"/>
  <c r="AE273" i="65"/>
  <c r="AD273" i="65"/>
  <c r="AC273" i="65"/>
  <c r="AB273" i="65"/>
  <c r="AA273" i="65"/>
  <c r="Z273" i="65"/>
  <c r="Y273" i="65"/>
  <c r="X273" i="65"/>
  <c r="W273" i="65"/>
  <c r="V273" i="65"/>
  <c r="U273" i="65"/>
  <c r="T273" i="65"/>
  <c r="S273" i="65"/>
  <c r="R273" i="65"/>
  <c r="Q273" i="65"/>
  <c r="P273" i="65"/>
  <c r="O273" i="65"/>
  <c r="N273" i="65"/>
  <c r="M273" i="65"/>
  <c r="L273" i="65"/>
  <c r="K273" i="65"/>
  <c r="J273" i="65"/>
  <c r="I273" i="65"/>
  <c r="H273" i="65"/>
  <c r="G273" i="65"/>
  <c r="F273" i="65"/>
  <c r="E273" i="65"/>
  <c r="D273" i="65"/>
  <c r="C273" i="65"/>
  <c r="B273" i="65"/>
  <c r="A273" i="65"/>
  <c r="AF272" i="65"/>
  <c r="AE272" i="65"/>
  <c r="AD272" i="65"/>
  <c r="AC272" i="65"/>
  <c r="AB272" i="65"/>
  <c r="AA272" i="65"/>
  <c r="Z272" i="65"/>
  <c r="Y272" i="65"/>
  <c r="X272" i="65"/>
  <c r="W272" i="65"/>
  <c r="V272" i="65"/>
  <c r="U272" i="65"/>
  <c r="T272" i="65"/>
  <c r="S272" i="65"/>
  <c r="R272" i="65"/>
  <c r="Q272" i="65"/>
  <c r="P272" i="65"/>
  <c r="O272" i="65"/>
  <c r="N272" i="65"/>
  <c r="M272" i="65"/>
  <c r="L272" i="65"/>
  <c r="K272" i="65"/>
  <c r="J272" i="65"/>
  <c r="I272" i="65"/>
  <c r="H272" i="65"/>
  <c r="G272" i="65"/>
  <c r="F272" i="65"/>
  <c r="E272" i="65"/>
  <c r="D272" i="65"/>
  <c r="C272" i="65"/>
  <c r="B272" i="65"/>
  <c r="A272" i="65"/>
  <c r="AF271" i="65"/>
  <c r="AE271" i="65"/>
  <c r="AD271" i="65"/>
  <c r="AC271" i="65"/>
  <c r="AB271" i="65"/>
  <c r="AA271" i="65"/>
  <c r="Z271" i="65"/>
  <c r="Y271" i="65"/>
  <c r="X271" i="65"/>
  <c r="W271" i="65"/>
  <c r="V271" i="65"/>
  <c r="U271" i="65"/>
  <c r="T271" i="65"/>
  <c r="S271" i="65"/>
  <c r="R271" i="65"/>
  <c r="Q271" i="65"/>
  <c r="P271" i="65"/>
  <c r="O271" i="65"/>
  <c r="N271" i="65"/>
  <c r="M271" i="65"/>
  <c r="L271" i="65"/>
  <c r="K271" i="65"/>
  <c r="J271" i="65"/>
  <c r="I271" i="65"/>
  <c r="H271" i="65"/>
  <c r="G271" i="65"/>
  <c r="F271" i="65"/>
  <c r="E271" i="65"/>
  <c r="D271" i="65"/>
  <c r="C271" i="65"/>
  <c r="B271" i="65"/>
  <c r="A271" i="65"/>
  <c r="AE270" i="65"/>
  <c r="AD270" i="65"/>
  <c r="AC270" i="65"/>
  <c r="AB270" i="65"/>
  <c r="AA270" i="65"/>
  <c r="Z270" i="65"/>
  <c r="Y270" i="65"/>
  <c r="X270" i="65"/>
  <c r="W270" i="65"/>
  <c r="V270" i="65"/>
  <c r="U270" i="65"/>
  <c r="T270" i="65"/>
  <c r="S270" i="65"/>
  <c r="R270" i="65"/>
  <c r="Q270" i="65"/>
  <c r="P270" i="65"/>
  <c r="B270" i="65"/>
  <c r="S245" i="65"/>
  <c r="AG235" i="65"/>
  <c r="AF235" i="65"/>
  <c r="AE235" i="65"/>
  <c r="AD235" i="65"/>
  <c r="AC235" i="65"/>
  <c r="AB235" i="65"/>
  <c r="AA235" i="65"/>
  <c r="Z235" i="65"/>
  <c r="Y235" i="65"/>
  <c r="X235" i="65"/>
  <c r="W235" i="65"/>
  <c r="V235" i="65"/>
  <c r="U235" i="65"/>
  <c r="T235" i="65"/>
  <c r="S235" i="65"/>
  <c r="R235" i="65"/>
  <c r="Q235" i="65"/>
  <c r="C235" i="65"/>
  <c r="E234" i="65"/>
  <c r="D270" i="65" s="1"/>
  <c r="D234" i="65"/>
  <c r="C270" i="65" s="1"/>
  <c r="B234" i="65"/>
  <c r="AF270" i="65" s="1"/>
  <c r="E233" i="65"/>
  <c r="F233" i="65" s="1"/>
  <c r="G233" i="65" s="1"/>
  <c r="H233" i="65" s="1"/>
  <c r="I233" i="65" s="1"/>
  <c r="J233" i="65" s="1"/>
  <c r="K233" i="65" s="1"/>
  <c r="L233" i="65" s="1"/>
  <c r="M233" i="65" s="1"/>
  <c r="N233" i="65" s="1"/>
  <c r="O233" i="65" s="1"/>
  <c r="P233" i="65" s="1"/>
  <c r="D233" i="65"/>
  <c r="B233" i="65"/>
  <c r="E232" i="65"/>
  <c r="F232" i="65" s="1"/>
  <c r="G232" i="65" s="1"/>
  <c r="H232" i="65" s="1"/>
  <c r="I232" i="65" s="1"/>
  <c r="D232" i="65"/>
  <c r="B232" i="65"/>
  <c r="G231" i="65"/>
  <c r="H231" i="65" s="1"/>
  <c r="F231" i="65"/>
  <c r="E231" i="65"/>
  <c r="D231" i="65"/>
  <c r="B231" i="65"/>
  <c r="E230" i="65"/>
  <c r="F230" i="65" s="1"/>
  <c r="G230" i="65" s="1"/>
  <c r="H230" i="65" s="1"/>
  <c r="I230" i="65" s="1"/>
  <c r="J230" i="65" s="1"/>
  <c r="K230" i="65" s="1"/>
  <c r="L230" i="65" s="1"/>
  <c r="M230" i="65" s="1"/>
  <c r="N230" i="65" s="1"/>
  <c r="O230" i="65" s="1"/>
  <c r="P230" i="65" s="1"/>
  <c r="D230" i="65"/>
  <c r="D235" i="65" s="1"/>
  <c r="B230" i="65"/>
  <c r="E229" i="65"/>
  <c r="F229" i="65" s="1"/>
  <c r="D229" i="65"/>
  <c r="B229" i="65"/>
  <c r="B110" i="65" s="1"/>
  <c r="AG227" i="65"/>
  <c r="AF227" i="65"/>
  <c r="AE227" i="65"/>
  <c r="AD227" i="65"/>
  <c r="AC227" i="65"/>
  <c r="AB227" i="65"/>
  <c r="AA227" i="65"/>
  <c r="Z227" i="65"/>
  <c r="Y227" i="65"/>
  <c r="X227" i="65"/>
  <c r="W227" i="65"/>
  <c r="V227" i="65"/>
  <c r="U227" i="65"/>
  <c r="T227" i="65"/>
  <c r="S227" i="65"/>
  <c r="R227" i="65"/>
  <c r="Q227" i="65"/>
  <c r="P227" i="65"/>
  <c r="O227" i="65"/>
  <c r="N227" i="65"/>
  <c r="M227" i="65"/>
  <c r="L227" i="65"/>
  <c r="K227" i="65"/>
  <c r="J227" i="65"/>
  <c r="I227" i="65"/>
  <c r="H227" i="65"/>
  <c r="G227" i="65"/>
  <c r="F227" i="65"/>
  <c r="E227" i="65"/>
  <c r="D227" i="65"/>
  <c r="C227" i="65"/>
  <c r="B227" i="65"/>
  <c r="AI120" i="65"/>
  <c r="AH120" i="65"/>
  <c r="AI119" i="65"/>
  <c r="AH119" i="65"/>
  <c r="AI118" i="65"/>
  <c r="AH118" i="65"/>
  <c r="AI117" i="65"/>
  <c r="AH117" i="65"/>
  <c r="AI116" i="65"/>
  <c r="AH116" i="65"/>
  <c r="AI115" i="65"/>
  <c r="AH115" i="65"/>
  <c r="AI114" i="65"/>
  <c r="AH114" i="65"/>
  <c r="AI113" i="65"/>
  <c r="AH113" i="65"/>
  <c r="AI112" i="65"/>
  <c r="AH112" i="65"/>
  <c r="AI111" i="65"/>
  <c r="AH111" i="65"/>
  <c r="AC110" i="65"/>
  <c r="AB110" i="65"/>
  <c r="V110" i="65"/>
  <c r="U110" i="65"/>
  <c r="T110" i="65"/>
  <c r="R110" i="65"/>
  <c r="Q110" i="65"/>
  <c r="E110" i="65"/>
  <c r="D110" i="65"/>
  <c r="C110" i="65"/>
  <c r="AI109" i="65"/>
  <c r="AH109" i="65"/>
  <c r="AI108" i="65"/>
  <c r="AH108" i="65"/>
  <c r="AI107" i="65"/>
  <c r="AH107" i="65"/>
  <c r="AI106" i="65"/>
  <c r="AH106" i="65"/>
  <c r="AI105" i="65"/>
  <c r="AH105" i="65"/>
  <c r="AI104" i="65"/>
  <c r="AH104" i="65"/>
  <c r="AI103" i="65"/>
  <c r="AH103" i="65"/>
  <c r="AI102" i="65"/>
  <c r="AH102" i="65"/>
  <c r="AI101" i="65"/>
  <c r="AH101" i="65"/>
  <c r="AF99" i="65"/>
  <c r="AE99" i="65"/>
  <c r="AD99" i="65"/>
  <c r="AD100" i="65" s="1"/>
  <c r="AC99" i="65"/>
  <c r="AB99" i="65"/>
  <c r="V99" i="65"/>
  <c r="U99" i="65"/>
  <c r="T99" i="65"/>
  <c r="R99" i="65"/>
  <c r="Q99" i="65"/>
  <c r="P99" i="65"/>
  <c r="O99" i="65"/>
  <c r="N99" i="65"/>
  <c r="M99" i="65"/>
  <c r="L99" i="65"/>
  <c r="K99" i="65"/>
  <c r="J99" i="65"/>
  <c r="I99" i="65"/>
  <c r="H99" i="65"/>
  <c r="G99" i="65"/>
  <c r="F99" i="65"/>
  <c r="E99" i="65"/>
  <c r="D99" i="65"/>
  <c r="C99" i="65"/>
  <c r="B99" i="65"/>
  <c r="AI98" i="65"/>
  <c r="AH98" i="65"/>
  <c r="AI97" i="65"/>
  <c r="AH97" i="65"/>
  <c r="AI96" i="65"/>
  <c r="AH96" i="65"/>
  <c r="AI95" i="65"/>
  <c r="AH95" i="65"/>
  <c r="AI94" i="65"/>
  <c r="AH94" i="65"/>
  <c r="AI93" i="65"/>
  <c r="AH93" i="65"/>
  <c r="AI90" i="65"/>
  <c r="AH90" i="65"/>
  <c r="AI88" i="65"/>
  <c r="AH88" i="65"/>
  <c r="AG88" i="65"/>
  <c r="AI87" i="65"/>
  <c r="AH87" i="65"/>
  <c r="AI86" i="65"/>
  <c r="AH86" i="65"/>
  <c r="AI85" i="65"/>
  <c r="AH85" i="65"/>
  <c r="AG84" i="65"/>
  <c r="AF84" i="65"/>
  <c r="AF89" i="65" s="1"/>
  <c r="AF91" i="65" s="1"/>
  <c r="AE84" i="65"/>
  <c r="AD5" i="65" s="1"/>
  <c r="AC84" i="65"/>
  <c r="AC100" i="65" s="1"/>
  <c r="AB84" i="65"/>
  <c r="AB100" i="65" s="1"/>
  <c r="V5" i="65"/>
  <c r="V84" i="65"/>
  <c r="V100" i="65" s="1"/>
  <c r="U84" i="65"/>
  <c r="U100" i="65" s="1"/>
  <c r="T84" i="65"/>
  <c r="T100" i="65" s="1"/>
  <c r="R84" i="65"/>
  <c r="R100" i="65" s="1"/>
  <c r="Q84" i="65"/>
  <c r="Q100" i="65" s="1"/>
  <c r="P84" i="65"/>
  <c r="O5" i="65" s="1"/>
  <c r="O84" i="65"/>
  <c r="N5" i="65" s="1"/>
  <c r="N84" i="65"/>
  <c r="N100" i="65" s="1"/>
  <c r="M84" i="65"/>
  <c r="M100" i="65" s="1"/>
  <c r="L84" i="65"/>
  <c r="K5" i="65" s="1"/>
  <c r="K84" i="65"/>
  <c r="K100" i="65" s="1"/>
  <c r="J84" i="65"/>
  <c r="J100" i="65" s="1"/>
  <c r="I84" i="65"/>
  <c r="I100" i="65" s="1"/>
  <c r="H84" i="65"/>
  <c r="G84" i="65"/>
  <c r="F5" i="65" s="1"/>
  <c r="F84" i="65"/>
  <c r="F100" i="65" s="1"/>
  <c r="E84" i="65"/>
  <c r="E100" i="65" s="1"/>
  <c r="D84" i="65"/>
  <c r="C5" i="65" s="1"/>
  <c r="C84" i="65"/>
  <c r="B5" i="65" s="1"/>
  <c r="B84" i="65"/>
  <c r="AI83" i="65"/>
  <c r="AH83" i="65"/>
  <c r="AI82" i="65"/>
  <c r="AH82" i="65"/>
  <c r="AI81" i="65"/>
  <c r="AH81" i="65"/>
  <c r="AI80" i="65"/>
  <c r="AH80" i="65"/>
  <c r="AI79" i="65"/>
  <c r="AH79" i="65"/>
  <c r="AI78" i="65"/>
  <c r="AH78" i="65"/>
  <c r="AI77" i="65"/>
  <c r="AH77" i="65"/>
  <c r="AI76" i="65"/>
  <c r="AH76" i="65"/>
  <c r="AI75" i="65"/>
  <c r="AH75" i="65"/>
  <c r="AI74" i="65"/>
  <c r="AH74" i="65"/>
  <c r="AI73" i="65"/>
  <c r="AH73" i="65"/>
  <c r="AG72" i="65"/>
  <c r="AC72" i="65"/>
  <c r="AB72" i="65"/>
  <c r="V72" i="65"/>
  <c r="U72" i="65"/>
  <c r="T72" i="65"/>
  <c r="R72" i="65"/>
  <c r="Q72" i="65"/>
  <c r="P72" i="65"/>
  <c r="O72" i="65"/>
  <c r="N72" i="65"/>
  <c r="M72" i="65"/>
  <c r="L72" i="65"/>
  <c r="B72" i="65"/>
  <c r="AI71" i="65"/>
  <c r="AH71" i="65"/>
  <c r="AI70" i="65"/>
  <c r="AH70" i="65"/>
  <c r="AI69" i="65"/>
  <c r="AH69" i="65"/>
  <c r="AB68" i="65"/>
  <c r="V68" i="65"/>
  <c r="U68" i="65"/>
  <c r="T68" i="65"/>
  <c r="R68" i="65"/>
  <c r="Q68" i="65"/>
  <c r="P68" i="65"/>
  <c r="O68" i="65"/>
  <c r="N68" i="65"/>
  <c r="M68" i="65"/>
  <c r="L68" i="65"/>
  <c r="K68" i="65"/>
  <c r="J68" i="65"/>
  <c r="I68" i="65"/>
  <c r="H68" i="65"/>
  <c r="G68" i="65"/>
  <c r="F68" i="65"/>
  <c r="E68" i="65"/>
  <c r="D68" i="65"/>
  <c r="C68" i="65"/>
  <c r="B68" i="65"/>
  <c r="AI67" i="65"/>
  <c r="AH67" i="65"/>
  <c r="AG67" i="65"/>
  <c r="AG68" i="65" s="1"/>
  <c r="AG3" i="65" s="1"/>
  <c r="AG6" i="65" s="1"/>
  <c r="AI66" i="65"/>
  <c r="AH66" i="65"/>
  <c r="AI65" i="65"/>
  <c r="AH65" i="65"/>
  <c r="AI64" i="65"/>
  <c r="AH64" i="65"/>
  <c r="AI63" i="65"/>
  <c r="AH63" i="65"/>
  <c r="AI62" i="65"/>
  <c r="AH62" i="65"/>
  <c r="AI61" i="65"/>
  <c r="AH61" i="65"/>
  <c r="AI60" i="65"/>
  <c r="AH60" i="65"/>
  <c r="AI59" i="65"/>
  <c r="AH59" i="65"/>
  <c r="AI58" i="65"/>
  <c r="AH58" i="65"/>
  <c r="AI57" i="65"/>
  <c r="AH57" i="65"/>
  <c r="AI56" i="65"/>
  <c r="AH56" i="65"/>
  <c r="AI55" i="65"/>
  <c r="AH55" i="65"/>
  <c r="AG54" i="65"/>
  <c r="AB54" i="65"/>
  <c r="V54" i="65"/>
  <c r="U54" i="65"/>
  <c r="R54" i="65"/>
  <c r="Q54" i="65"/>
  <c r="P54" i="65"/>
  <c r="O54" i="65"/>
  <c r="N54" i="65"/>
  <c r="M54" i="65"/>
  <c r="L54" i="65"/>
  <c r="K54" i="65"/>
  <c r="J54" i="65"/>
  <c r="I54" i="65"/>
  <c r="H54" i="65"/>
  <c r="G54" i="65"/>
  <c r="F54" i="65"/>
  <c r="E54" i="65"/>
  <c r="D54" i="65"/>
  <c r="C54" i="65"/>
  <c r="B54" i="65"/>
  <c r="AI53" i="65"/>
  <c r="AH53" i="65"/>
  <c r="AI52" i="65"/>
  <c r="AH52" i="65"/>
  <c r="AI51" i="65"/>
  <c r="AH51" i="65"/>
  <c r="AG50" i="65"/>
  <c r="AE89" i="65"/>
  <c r="AE91" i="65" s="1"/>
  <c r="AD91" i="65"/>
  <c r="AB50" i="65"/>
  <c r="V50" i="65"/>
  <c r="U50" i="65"/>
  <c r="R50" i="65"/>
  <c r="Q50" i="65"/>
  <c r="P50" i="65"/>
  <c r="O50" i="65"/>
  <c r="N50" i="65"/>
  <c r="M50" i="65"/>
  <c r="L50" i="65"/>
  <c r="K50" i="65"/>
  <c r="J50" i="65"/>
  <c r="I50" i="65"/>
  <c r="H50" i="65"/>
  <c r="G50" i="65"/>
  <c r="F50" i="65"/>
  <c r="E50" i="65"/>
  <c r="D50" i="65"/>
  <c r="C50" i="65"/>
  <c r="B50" i="65"/>
  <c r="AI49" i="65"/>
  <c r="AH49" i="65"/>
  <c r="AI48" i="65"/>
  <c r="AH48" i="65"/>
  <c r="AI47" i="65"/>
  <c r="AH47" i="65"/>
  <c r="AI46" i="65"/>
  <c r="AH46" i="65"/>
  <c r="AI45" i="65"/>
  <c r="AH45" i="65"/>
  <c r="AI44" i="65"/>
  <c r="AH44" i="65"/>
  <c r="AI43" i="65"/>
  <c r="AH43" i="65"/>
  <c r="AI42" i="65"/>
  <c r="AH42" i="65"/>
  <c r="AI41" i="65"/>
  <c r="AH41" i="65"/>
  <c r="AI40" i="65"/>
  <c r="AH40" i="65"/>
  <c r="AI39" i="65"/>
  <c r="AH39" i="65"/>
  <c r="AI38" i="65"/>
  <c r="AH38" i="65"/>
  <c r="AI37" i="65"/>
  <c r="AH37" i="65"/>
  <c r="AI36" i="65"/>
  <c r="AH36" i="65"/>
  <c r="AI35" i="65"/>
  <c r="AH35" i="65"/>
  <c r="AI34" i="65"/>
  <c r="AH34" i="65"/>
  <c r="AI33" i="65"/>
  <c r="AH33" i="65"/>
  <c r="AI32" i="65"/>
  <c r="AH32" i="65"/>
  <c r="AI31" i="65"/>
  <c r="AH31" i="65"/>
  <c r="AI30" i="65"/>
  <c r="AH30" i="65"/>
  <c r="AI29" i="65"/>
  <c r="AH29" i="65"/>
  <c r="AI28" i="65"/>
  <c r="AH28" i="65"/>
  <c r="AI27" i="65"/>
  <c r="AH27" i="65"/>
  <c r="AI26" i="65"/>
  <c r="AH26" i="65"/>
  <c r="AI25" i="65"/>
  <c r="AH25" i="65"/>
  <c r="AI24" i="65"/>
  <c r="AH24" i="65"/>
  <c r="AI23" i="65"/>
  <c r="AH23" i="65"/>
  <c r="AI22" i="65"/>
  <c r="AH22" i="65"/>
  <c r="AI21" i="65"/>
  <c r="AH21" i="65"/>
  <c r="AI20" i="65"/>
  <c r="AH20" i="65"/>
  <c r="AI19" i="65"/>
  <c r="AH19" i="65"/>
  <c r="AI18" i="65"/>
  <c r="AH18" i="65"/>
  <c r="AI17" i="65"/>
  <c r="AH17" i="65"/>
  <c r="AI16" i="65"/>
  <c r="AH16" i="65"/>
  <c r="AI15" i="65"/>
  <c r="AH15" i="65"/>
  <c r="AI14" i="65"/>
  <c r="AH14" i="65"/>
  <c r="AI13" i="65"/>
  <c r="AH13" i="65"/>
  <c r="AI12" i="65"/>
  <c r="AH12" i="65"/>
  <c r="AI11" i="65"/>
  <c r="AH11" i="65"/>
  <c r="X7" i="65"/>
  <c r="Z5" i="65"/>
  <c r="Y5" i="65"/>
  <c r="X5" i="65"/>
  <c r="W5" i="65"/>
  <c r="R5" i="65"/>
  <c r="AG4" i="65"/>
  <c r="K4" i="65"/>
  <c r="E4" i="65"/>
  <c r="H4" i="65" s="1"/>
  <c r="B4" i="65"/>
  <c r="D246" i="65" s="1"/>
  <c r="AG2" i="65"/>
  <c r="AF92" i="65" l="1"/>
  <c r="AF7" i="65"/>
  <c r="AE5" i="65"/>
  <c r="AF100" i="65"/>
  <c r="AE100" i="65"/>
  <c r="AB5" i="65"/>
  <c r="AC89" i="65"/>
  <c r="AC91" i="65" s="1"/>
  <c r="AC7" i="65" s="1"/>
  <c r="AA5" i="65"/>
  <c r="AB89" i="65"/>
  <c r="AB91" i="65" s="1"/>
  <c r="AB92" i="65" s="1"/>
  <c r="V89" i="65"/>
  <c r="V91" i="65" s="1"/>
  <c r="V7" i="65" s="1"/>
  <c r="T5" i="65"/>
  <c r="U89" i="65"/>
  <c r="U91" i="65" s="1"/>
  <c r="U92" i="65" s="1"/>
  <c r="S5" i="65"/>
  <c r="T89" i="65"/>
  <c r="T91" i="65" s="1"/>
  <c r="T7" i="65" s="1"/>
  <c r="Q5" i="65"/>
  <c r="R89" i="65"/>
  <c r="R91" i="65" s="1"/>
  <c r="AJ249" i="65" s="1"/>
  <c r="P5" i="65"/>
  <c r="Q89" i="65"/>
  <c r="Q91" i="65" s="1"/>
  <c r="Q92" i="65" s="1"/>
  <c r="P100" i="65"/>
  <c r="P89" i="65"/>
  <c r="P91" i="65" s="1"/>
  <c r="P92" i="65" s="1"/>
  <c r="O100" i="65"/>
  <c r="O89" i="65"/>
  <c r="O91" i="65" s="1"/>
  <c r="O7" i="65" s="1"/>
  <c r="N89" i="65"/>
  <c r="N91" i="65" s="1"/>
  <c r="AF249" i="65" s="1"/>
  <c r="L5" i="65"/>
  <c r="M89" i="65"/>
  <c r="M91" i="65" s="1"/>
  <c r="AE249" i="65" s="1"/>
  <c r="L89" i="65"/>
  <c r="L91" i="65" s="1"/>
  <c r="L92" i="65" s="1"/>
  <c r="L100" i="65"/>
  <c r="K89" i="65"/>
  <c r="K91" i="65" s="1"/>
  <c r="K7" i="65" s="1"/>
  <c r="J5" i="65"/>
  <c r="I5" i="65"/>
  <c r="J89" i="65"/>
  <c r="J91" i="65" s="1"/>
  <c r="J7" i="65" s="1"/>
  <c r="H89" i="65"/>
  <c r="H91" i="65" s="1"/>
  <c r="H92" i="65" s="1"/>
  <c r="H5" i="65"/>
  <c r="I89" i="65"/>
  <c r="I91" i="65" s="1"/>
  <c r="I92" i="65" s="1"/>
  <c r="AI72" i="65"/>
  <c r="G5" i="65"/>
  <c r="G100" i="65"/>
  <c r="G89" i="65"/>
  <c r="G91" i="65" s="1"/>
  <c r="F89" i="65"/>
  <c r="F91" i="65" s="1"/>
  <c r="F92" i="65" s="1"/>
  <c r="D5" i="65"/>
  <c r="E89" i="65"/>
  <c r="E91" i="65" s="1"/>
  <c r="E92" i="65" s="1"/>
  <c r="AI99" i="65"/>
  <c r="D100" i="65"/>
  <c r="AI68" i="65"/>
  <c r="D89" i="65"/>
  <c r="D91" i="65" s="1"/>
  <c r="V249" i="65" s="1"/>
  <c r="AI54" i="65"/>
  <c r="C89" i="65"/>
  <c r="C91" i="65" s="1"/>
  <c r="AH84" i="65"/>
  <c r="AH99" i="65"/>
  <c r="AI84" i="65"/>
  <c r="AF5" i="65"/>
  <c r="B89" i="65"/>
  <c r="S246" i="65"/>
  <c r="Y7" i="65"/>
  <c r="AQ249" i="65"/>
  <c r="S7" i="65"/>
  <c r="AK249" i="65"/>
  <c r="G229" i="65"/>
  <c r="F110" i="65"/>
  <c r="N7" i="65"/>
  <c r="N92" i="65"/>
  <c r="AD7" i="65"/>
  <c r="AV249" i="65"/>
  <c r="AD92" i="65"/>
  <c r="C92" i="65"/>
  <c r="C7" i="65"/>
  <c r="U249" i="65"/>
  <c r="AG89" i="65"/>
  <c r="AO249" i="65"/>
  <c r="W7" i="65"/>
  <c r="AW249" i="65"/>
  <c r="AE92" i="65"/>
  <c r="AE7" i="65"/>
  <c r="AA7" i="65"/>
  <c r="AS249" i="65"/>
  <c r="J232" i="65"/>
  <c r="K232" i="65" s="1"/>
  <c r="L232" i="65" s="1"/>
  <c r="M232" i="65" s="1"/>
  <c r="N232" i="65" s="1"/>
  <c r="O232" i="65" s="1"/>
  <c r="P232" i="65" s="1"/>
  <c r="Z7" i="65"/>
  <c r="AR249" i="65"/>
  <c r="AD249" i="65"/>
  <c r="AG91" i="65"/>
  <c r="E235" i="65"/>
  <c r="AP249" i="65"/>
  <c r="AX249" i="65"/>
  <c r="AH54" i="65"/>
  <c r="AI50" i="65"/>
  <c r="H100" i="65"/>
  <c r="F234" i="65"/>
  <c r="B100" i="65"/>
  <c r="AH50" i="65"/>
  <c r="E5" i="65"/>
  <c r="M5" i="65"/>
  <c r="U5" i="65"/>
  <c r="AC5" i="65"/>
  <c r="AH72" i="65"/>
  <c r="C100" i="65"/>
  <c r="B235" i="65"/>
  <c r="AH68" i="65"/>
  <c r="AC92" i="65" l="1"/>
  <c r="AU249" i="65"/>
  <c r="AB7" i="65"/>
  <c r="AT249" i="65"/>
  <c r="V92" i="65"/>
  <c r="AN249" i="65"/>
  <c r="AM249" i="65"/>
  <c r="U7" i="65"/>
  <c r="AL249" i="65"/>
  <c r="T92" i="65"/>
  <c r="R7" i="65"/>
  <c r="R92" i="65"/>
  <c r="AI249" i="65"/>
  <c r="Q7" i="65"/>
  <c r="AH249" i="65"/>
  <c r="P7" i="65"/>
  <c r="O92" i="65"/>
  <c r="AG249" i="65"/>
  <c r="M92" i="65"/>
  <c r="M7" i="65"/>
  <c r="L7" i="65"/>
  <c r="Z249" i="65"/>
  <c r="H7" i="65"/>
  <c r="J92" i="65"/>
  <c r="K92" i="65"/>
  <c r="AC249" i="65"/>
  <c r="AB249" i="65"/>
  <c r="I7" i="65"/>
  <c r="AA249" i="65"/>
  <c r="B244" i="65"/>
  <c r="C244" i="65"/>
  <c r="Y249" i="65"/>
  <c r="G7" i="65"/>
  <c r="G92" i="65"/>
  <c r="F7" i="65"/>
  <c r="X249" i="65"/>
  <c r="W249" i="65"/>
  <c r="E7" i="65"/>
  <c r="D7" i="65"/>
  <c r="D92" i="65"/>
  <c r="AH89" i="65"/>
  <c r="B91" i="65"/>
  <c r="B92" i="65" s="1"/>
  <c r="AI89" i="65"/>
  <c r="AI100" i="65"/>
  <c r="AH100" i="65"/>
  <c r="E270" i="65"/>
  <c r="G234" i="65"/>
  <c r="F235" i="65"/>
  <c r="H229" i="65"/>
  <c r="G110" i="65"/>
  <c r="G235" i="65"/>
  <c r="K6" i="65" l="1"/>
  <c r="AH91" i="65"/>
  <c r="T249" i="65"/>
  <c r="B7" i="65"/>
  <c r="A7" i="65" s="1"/>
  <c r="AI91" i="65"/>
  <c r="I229" i="65"/>
  <c r="H110" i="65"/>
  <c r="H235" i="65"/>
  <c r="AI92" i="65"/>
  <c r="AH92" i="65"/>
  <c r="F270" i="65"/>
  <c r="H234" i="65"/>
  <c r="J229" i="65" l="1"/>
  <c r="G270" i="65"/>
  <c r="I234" i="65"/>
  <c r="H270" i="65" l="1"/>
  <c r="J234" i="65"/>
  <c r="J110" i="65"/>
  <c r="K229" i="65"/>
  <c r="I110" i="65"/>
  <c r="K110" i="65" l="1"/>
  <c r="L229" i="65"/>
  <c r="K234" i="65"/>
  <c r="I270" i="65"/>
  <c r="AF50" i="64"/>
  <c r="AF54" i="64"/>
  <c r="X110" i="64"/>
  <c r="Y110" i="64"/>
  <c r="Z110" i="64"/>
  <c r="AA110" i="64"/>
  <c r="AB110" i="64"/>
  <c r="AC110" i="64"/>
  <c r="AA50" i="64"/>
  <c r="AA54" i="64"/>
  <c r="AA68" i="64"/>
  <c r="AA72" i="64"/>
  <c r="AA84" i="64"/>
  <c r="AA100" i="64" s="1"/>
  <c r="AA99" i="64"/>
  <c r="Z50" i="64"/>
  <c r="Z54" i="64"/>
  <c r="Z68" i="64"/>
  <c r="Z72" i="64"/>
  <c r="Z84" i="64"/>
  <c r="Z100" i="64" s="1"/>
  <c r="Z99" i="64"/>
  <c r="J270" i="65" l="1"/>
  <c r="L234" i="65"/>
  <c r="M229" i="65"/>
  <c r="L110" i="65"/>
  <c r="AA89" i="64"/>
  <c r="AA91" i="64" s="1"/>
  <c r="AA92" i="64" s="1"/>
  <c r="Z89" i="64"/>
  <c r="Z91" i="64" s="1"/>
  <c r="Z92" i="64" s="1"/>
  <c r="N229" i="65" l="1"/>
  <c r="K270" i="65"/>
  <c r="M234" i="65"/>
  <c r="Y50" i="64"/>
  <c r="Y54" i="64"/>
  <c r="Y68" i="64"/>
  <c r="Y72" i="64"/>
  <c r="Y84" i="64"/>
  <c r="Y100" i="64" s="1"/>
  <c r="Y99" i="64"/>
  <c r="X50" i="64"/>
  <c r="X54" i="64"/>
  <c r="X68" i="64"/>
  <c r="X72" i="64"/>
  <c r="X84" i="64"/>
  <c r="X100" i="64" s="1"/>
  <c r="X99" i="64"/>
  <c r="W50" i="64"/>
  <c r="W54" i="64"/>
  <c r="W68" i="64"/>
  <c r="W72" i="64"/>
  <c r="W84" i="64"/>
  <c r="W100" i="64" s="1"/>
  <c r="W99" i="64"/>
  <c r="W110" i="64"/>
  <c r="V50" i="64"/>
  <c r="V54" i="64"/>
  <c r="V68" i="64"/>
  <c r="V72" i="64"/>
  <c r="V84" i="64"/>
  <c r="V100" i="64" s="1"/>
  <c r="V99" i="64"/>
  <c r="V110" i="64"/>
  <c r="U50" i="64"/>
  <c r="U54" i="64"/>
  <c r="U68" i="64"/>
  <c r="U72" i="64"/>
  <c r="U84" i="64"/>
  <c r="U99" i="64"/>
  <c r="U110" i="64"/>
  <c r="L270" i="65" l="1"/>
  <c r="N234" i="65"/>
  <c r="M110" i="65"/>
  <c r="O229" i="65"/>
  <c r="N110" i="65"/>
  <c r="Y89" i="64"/>
  <c r="Y91" i="64" s="1"/>
  <c r="Y92" i="64" s="1"/>
  <c r="X89" i="64"/>
  <c r="X91" i="64" s="1"/>
  <c r="X92" i="64" s="1"/>
  <c r="W89" i="64"/>
  <c r="W91" i="64" s="1"/>
  <c r="W92" i="64" s="1"/>
  <c r="V89" i="64"/>
  <c r="V91" i="64" s="1"/>
  <c r="V92" i="64" s="1"/>
  <c r="U89" i="64"/>
  <c r="U91" i="64" s="1"/>
  <c r="U92" i="64" s="1"/>
  <c r="U100" i="64"/>
  <c r="T50" i="64"/>
  <c r="T54" i="64"/>
  <c r="T68" i="64"/>
  <c r="T72" i="64"/>
  <c r="T84" i="64"/>
  <c r="T100" i="64" s="1"/>
  <c r="T99" i="64"/>
  <c r="T110" i="64"/>
  <c r="S50" i="64"/>
  <c r="S54" i="64"/>
  <c r="S68" i="64"/>
  <c r="S72" i="64"/>
  <c r="S84" i="64"/>
  <c r="S100" i="64" s="1"/>
  <c r="S99" i="64"/>
  <c r="S110" i="64"/>
  <c r="N49" i="64"/>
  <c r="M49" i="64"/>
  <c r="L113" i="64"/>
  <c r="L49" i="64"/>
  <c r="K113" i="64"/>
  <c r="K49" i="64"/>
  <c r="J113" i="64"/>
  <c r="J49" i="64"/>
  <c r="I113" i="64"/>
  <c r="I49" i="64"/>
  <c r="H113" i="64"/>
  <c r="H49" i="64"/>
  <c r="G113" i="64"/>
  <c r="G49" i="64"/>
  <c r="F113" i="64"/>
  <c r="F49" i="64"/>
  <c r="E113" i="64"/>
  <c r="P229" i="65" l="1"/>
  <c r="O110" i="65"/>
  <c r="M270" i="65"/>
  <c r="O234" i="65"/>
  <c r="T89" i="64"/>
  <c r="T91" i="64" s="1"/>
  <c r="T92" i="64" s="1"/>
  <c r="S89" i="64"/>
  <c r="S91" i="64" s="1"/>
  <c r="S92" i="64" s="1"/>
  <c r="AF274" i="64"/>
  <c r="AE274" i="64"/>
  <c r="AD274" i="64"/>
  <c r="AC274" i="64"/>
  <c r="AB274" i="64"/>
  <c r="AA274" i="64"/>
  <c r="Z274" i="64"/>
  <c r="Y274" i="64"/>
  <c r="X274" i="64"/>
  <c r="W274" i="64"/>
  <c r="V274" i="64"/>
  <c r="U274" i="64"/>
  <c r="T274" i="64"/>
  <c r="S274" i="64"/>
  <c r="R274" i="64"/>
  <c r="Q274" i="64"/>
  <c r="P274" i="64"/>
  <c r="O274" i="64"/>
  <c r="N274" i="64"/>
  <c r="M274" i="64"/>
  <c r="L274" i="64"/>
  <c r="K274" i="64"/>
  <c r="J274" i="64"/>
  <c r="I274" i="64"/>
  <c r="H274" i="64"/>
  <c r="G274" i="64"/>
  <c r="F274" i="64"/>
  <c r="E274" i="64"/>
  <c r="D274" i="64"/>
  <c r="C274" i="64"/>
  <c r="B274" i="64"/>
  <c r="A274" i="64"/>
  <c r="AF273" i="64"/>
  <c r="AE273" i="64"/>
  <c r="AD273" i="64"/>
  <c r="AC273" i="64"/>
  <c r="AB273" i="64"/>
  <c r="AA273" i="64"/>
  <c r="Z273" i="64"/>
  <c r="Y273" i="64"/>
  <c r="X273" i="64"/>
  <c r="W273" i="64"/>
  <c r="V273" i="64"/>
  <c r="U273" i="64"/>
  <c r="T273" i="64"/>
  <c r="S273" i="64"/>
  <c r="R273" i="64"/>
  <c r="Q273" i="64"/>
  <c r="P273" i="64"/>
  <c r="O273" i="64"/>
  <c r="N273" i="64"/>
  <c r="M273" i="64"/>
  <c r="L273" i="64"/>
  <c r="K273" i="64"/>
  <c r="J273" i="64"/>
  <c r="I273" i="64"/>
  <c r="H273" i="64"/>
  <c r="G273" i="64"/>
  <c r="F273" i="64"/>
  <c r="E273" i="64"/>
  <c r="D273" i="64"/>
  <c r="C273" i="64"/>
  <c r="B273" i="64"/>
  <c r="A273" i="64"/>
  <c r="AF272" i="64"/>
  <c r="AE272" i="64"/>
  <c r="AD272" i="64"/>
  <c r="AC272" i="64"/>
  <c r="AB272" i="64"/>
  <c r="AA272" i="64"/>
  <c r="Z272" i="64"/>
  <c r="Y272" i="64"/>
  <c r="X272" i="64"/>
  <c r="W272" i="64"/>
  <c r="V272" i="64"/>
  <c r="U272" i="64"/>
  <c r="T272" i="64"/>
  <c r="S272" i="64"/>
  <c r="R272" i="64"/>
  <c r="Q272" i="64"/>
  <c r="P272" i="64"/>
  <c r="O272" i="64"/>
  <c r="N272" i="64"/>
  <c r="M272" i="64"/>
  <c r="L272" i="64"/>
  <c r="K272" i="64"/>
  <c r="J272" i="64"/>
  <c r="I272" i="64"/>
  <c r="H272" i="64"/>
  <c r="G272" i="64"/>
  <c r="F272" i="64"/>
  <c r="E272" i="64"/>
  <c r="D272" i="64"/>
  <c r="C272" i="64"/>
  <c r="B272" i="64"/>
  <c r="A272" i="64"/>
  <c r="AF271" i="64"/>
  <c r="AE271" i="64"/>
  <c r="AD271" i="64"/>
  <c r="AC271" i="64"/>
  <c r="AB271" i="64"/>
  <c r="AA271" i="64"/>
  <c r="Z271" i="64"/>
  <c r="Y271" i="64"/>
  <c r="X271" i="64"/>
  <c r="W271" i="64"/>
  <c r="V271" i="64"/>
  <c r="U271" i="64"/>
  <c r="T271" i="64"/>
  <c r="S271" i="64"/>
  <c r="R271" i="64"/>
  <c r="Q271" i="64"/>
  <c r="P271" i="64"/>
  <c r="O271" i="64"/>
  <c r="N271" i="64"/>
  <c r="M271" i="64"/>
  <c r="L271" i="64"/>
  <c r="K271" i="64"/>
  <c r="J271" i="64"/>
  <c r="I271" i="64"/>
  <c r="H271" i="64"/>
  <c r="G271" i="64"/>
  <c r="F271" i="64"/>
  <c r="E271" i="64"/>
  <c r="D271" i="64"/>
  <c r="C271" i="64"/>
  <c r="B271" i="64"/>
  <c r="A271" i="64"/>
  <c r="AE270" i="64"/>
  <c r="AD270" i="64"/>
  <c r="AC270" i="64"/>
  <c r="AB270" i="64"/>
  <c r="AA270" i="64"/>
  <c r="Z270" i="64"/>
  <c r="Y270" i="64"/>
  <c r="X270" i="64"/>
  <c r="W270" i="64"/>
  <c r="V270" i="64"/>
  <c r="U270" i="64"/>
  <c r="T270" i="64"/>
  <c r="S270" i="64"/>
  <c r="R270" i="64"/>
  <c r="Q270" i="64"/>
  <c r="P270" i="64"/>
  <c r="C270" i="64"/>
  <c r="B270" i="64"/>
  <c r="S245" i="64"/>
  <c r="AG235" i="64"/>
  <c r="AF235" i="64"/>
  <c r="AE235" i="64"/>
  <c r="AD235" i="64"/>
  <c r="AC235" i="64"/>
  <c r="AB235" i="64"/>
  <c r="AA235" i="64"/>
  <c r="Z235" i="64"/>
  <c r="Y235" i="64"/>
  <c r="X235" i="64"/>
  <c r="W235" i="64"/>
  <c r="V235" i="64"/>
  <c r="U235" i="64"/>
  <c r="T235" i="64"/>
  <c r="S235" i="64"/>
  <c r="R235" i="64"/>
  <c r="Q235" i="64"/>
  <c r="C235" i="64"/>
  <c r="D234" i="64"/>
  <c r="E234" i="64" s="1"/>
  <c r="D270" i="64" s="1"/>
  <c r="B234" i="64"/>
  <c r="AF270" i="64" s="1"/>
  <c r="L233" i="64"/>
  <c r="M233" i="64" s="1"/>
  <c r="N233" i="64" s="1"/>
  <c r="O233" i="64" s="1"/>
  <c r="P233" i="64" s="1"/>
  <c r="D233" i="64"/>
  <c r="E233" i="64" s="1"/>
  <c r="F233" i="64" s="1"/>
  <c r="G233" i="64" s="1"/>
  <c r="H233" i="64" s="1"/>
  <c r="I233" i="64" s="1"/>
  <c r="J233" i="64" s="1"/>
  <c r="K233" i="64" s="1"/>
  <c r="B233" i="64"/>
  <c r="J232" i="64"/>
  <c r="K232" i="64" s="1"/>
  <c r="L232" i="64" s="1"/>
  <c r="M232" i="64" s="1"/>
  <c r="N232" i="64" s="1"/>
  <c r="O232" i="64" s="1"/>
  <c r="P232" i="64" s="1"/>
  <c r="D232" i="64"/>
  <c r="E232" i="64" s="1"/>
  <c r="F232" i="64" s="1"/>
  <c r="G232" i="64" s="1"/>
  <c r="H232" i="64" s="1"/>
  <c r="I232" i="64" s="1"/>
  <c r="B232" i="64"/>
  <c r="F231" i="64"/>
  <c r="G231" i="64" s="1"/>
  <c r="H231" i="64" s="1"/>
  <c r="E231" i="64"/>
  <c r="D231" i="64"/>
  <c r="B231" i="64"/>
  <c r="D230" i="64"/>
  <c r="E230" i="64" s="1"/>
  <c r="F230" i="64" s="1"/>
  <c r="G230" i="64" s="1"/>
  <c r="H230" i="64" s="1"/>
  <c r="I230" i="64" s="1"/>
  <c r="J230" i="64" s="1"/>
  <c r="K230" i="64" s="1"/>
  <c r="L230" i="64" s="1"/>
  <c r="M230" i="64" s="1"/>
  <c r="N230" i="64" s="1"/>
  <c r="O230" i="64" s="1"/>
  <c r="P230" i="64" s="1"/>
  <c r="B230" i="64"/>
  <c r="D229" i="64"/>
  <c r="B229" i="64"/>
  <c r="B235" i="64" s="1"/>
  <c r="AG227" i="64"/>
  <c r="AF227" i="64"/>
  <c r="AE227" i="64"/>
  <c r="AD227" i="64"/>
  <c r="AC227" i="64"/>
  <c r="AB227" i="64"/>
  <c r="AA227" i="64"/>
  <c r="Z227" i="64"/>
  <c r="Y227" i="64"/>
  <c r="X227" i="64"/>
  <c r="W227" i="64"/>
  <c r="V227" i="64"/>
  <c r="U227" i="64"/>
  <c r="T227" i="64"/>
  <c r="S227" i="64"/>
  <c r="R227" i="64"/>
  <c r="Q227" i="64"/>
  <c r="P227" i="64"/>
  <c r="O227" i="64"/>
  <c r="N227" i="64"/>
  <c r="M227" i="64"/>
  <c r="L227" i="64"/>
  <c r="K227" i="64"/>
  <c r="J227" i="64"/>
  <c r="I227" i="64"/>
  <c r="H227" i="64"/>
  <c r="G227" i="64"/>
  <c r="F227" i="64"/>
  <c r="E227" i="64"/>
  <c r="D227" i="64"/>
  <c r="C227" i="64"/>
  <c r="B227" i="64"/>
  <c r="AI120" i="64"/>
  <c r="AH120" i="64"/>
  <c r="AI119" i="64"/>
  <c r="AH119" i="64"/>
  <c r="AI118" i="64"/>
  <c r="AH118" i="64"/>
  <c r="AI117" i="64"/>
  <c r="AH117" i="64"/>
  <c r="AI116" i="64"/>
  <c r="AH116" i="64"/>
  <c r="AI115" i="64"/>
  <c r="AH115" i="64"/>
  <c r="AI114" i="64"/>
  <c r="AH114" i="64"/>
  <c r="AI113" i="64"/>
  <c r="AH113" i="64"/>
  <c r="AI112" i="64"/>
  <c r="AH112" i="64"/>
  <c r="AI111" i="64"/>
  <c r="AH111" i="64"/>
  <c r="AF110" i="64"/>
  <c r="AE110" i="64"/>
  <c r="R110" i="64"/>
  <c r="Q110" i="64"/>
  <c r="C110" i="64"/>
  <c r="AI109" i="64"/>
  <c r="AH109" i="64"/>
  <c r="AI108" i="64"/>
  <c r="AH108" i="64"/>
  <c r="AI107" i="64"/>
  <c r="AH107" i="64"/>
  <c r="AI106" i="64"/>
  <c r="AH106" i="64"/>
  <c r="AI105" i="64"/>
  <c r="AH105" i="64"/>
  <c r="AI104" i="64"/>
  <c r="AH104" i="64"/>
  <c r="AI103" i="64"/>
  <c r="AH103" i="64"/>
  <c r="AI102" i="64"/>
  <c r="AH102" i="64"/>
  <c r="AI101" i="64"/>
  <c r="AH101" i="64"/>
  <c r="AF99" i="64"/>
  <c r="AE99" i="64"/>
  <c r="AD99" i="64"/>
  <c r="AC99" i="64"/>
  <c r="AB99" i="64"/>
  <c r="R99" i="64"/>
  <c r="Q99" i="64"/>
  <c r="P99" i="64"/>
  <c r="O99" i="64"/>
  <c r="N99" i="64"/>
  <c r="M99" i="64"/>
  <c r="L99" i="64"/>
  <c r="K99" i="64"/>
  <c r="J99" i="64"/>
  <c r="I99" i="64"/>
  <c r="H99" i="64"/>
  <c r="G99" i="64"/>
  <c r="F99" i="64"/>
  <c r="E99" i="64"/>
  <c r="D99" i="64"/>
  <c r="C99" i="64"/>
  <c r="B99" i="64"/>
  <c r="AI98" i="64"/>
  <c r="AH98" i="64"/>
  <c r="AI97" i="64"/>
  <c r="AH97" i="64"/>
  <c r="AI96" i="64"/>
  <c r="AH96" i="64"/>
  <c r="AI95" i="64"/>
  <c r="AH95" i="64"/>
  <c r="AI94" i="64"/>
  <c r="AH94" i="64"/>
  <c r="AI93" i="64"/>
  <c r="AH93" i="64"/>
  <c r="AI90" i="64"/>
  <c r="AH90" i="64"/>
  <c r="AI88" i="64"/>
  <c r="AH88" i="64"/>
  <c r="AG88" i="64"/>
  <c r="AI87" i="64"/>
  <c r="AH87" i="64"/>
  <c r="AI86" i="64"/>
  <c r="AH86" i="64"/>
  <c r="AI85" i="64"/>
  <c r="AH85" i="64"/>
  <c r="AG84" i="64"/>
  <c r="AF84" i="64"/>
  <c r="AE84" i="64"/>
  <c r="AE100" i="64" s="1"/>
  <c r="AD84" i="64"/>
  <c r="AC84" i="64"/>
  <c r="AB5" i="64" s="1"/>
  <c r="AB84" i="64"/>
  <c r="X5" i="64"/>
  <c r="R84" i="64"/>
  <c r="Q5" i="64" s="1"/>
  <c r="Q84" i="64"/>
  <c r="P5" i="64" s="1"/>
  <c r="P84" i="64"/>
  <c r="O84" i="64"/>
  <c r="O100" i="64" s="1"/>
  <c r="N84" i="64"/>
  <c r="N100" i="64" s="1"/>
  <c r="M84" i="64"/>
  <c r="M100" i="64" s="1"/>
  <c r="L84" i="64"/>
  <c r="L100" i="64" s="1"/>
  <c r="K84" i="64"/>
  <c r="K100" i="64" s="1"/>
  <c r="J84" i="64"/>
  <c r="I5" i="64" s="1"/>
  <c r="I84" i="64"/>
  <c r="H5" i="64" s="1"/>
  <c r="H84" i="64"/>
  <c r="G84" i="64"/>
  <c r="F5" i="64" s="1"/>
  <c r="F84" i="64"/>
  <c r="F100" i="64" s="1"/>
  <c r="E84" i="64"/>
  <c r="E100" i="64" s="1"/>
  <c r="D84" i="64"/>
  <c r="C84" i="64"/>
  <c r="B84" i="64"/>
  <c r="AI83" i="64"/>
  <c r="AH83" i="64"/>
  <c r="AI82" i="64"/>
  <c r="AH82" i="64"/>
  <c r="AI81" i="64"/>
  <c r="AH81" i="64"/>
  <c r="AI80" i="64"/>
  <c r="AH80" i="64"/>
  <c r="AI79" i="64"/>
  <c r="AH79" i="64"/>
  <c r="AI78" i="64"/>
  <c r="AH78" i="64"/>
  <c r="AI77" i="64"/>
  <c r="AH77" i="64"/>
  <c r="AI76" i="64"/>
  <c r="AH76" i="64"/>
  <c r="AI75" i="64"/>
  <c r="AH75" i="64"/>
  <c r="AI74" i="64"/>
  <c r="AH74" i="64"/>
  <c r="AI73" i="64"/>
  <c r="AH73" i="64"/>
  <c r="AG72" i="64"/>
  <c r="AF72" i="64"/>
  <c r="AE72" i="64"/>
  <c r="AD72" i="64"/>
  <c r="AC72" i="64"/>
  <c r="AB72" i="64"/>
  <c r="R72" i="64"/>
  <c r="Q72" i="64"/>
  <c r="P72" i="64"/>
  <c r="O72" i="64"/>
  <c r="N72" i="64"/>
  <c r="M72" i="64"/>
  <c r="L72" i="64"/>
  <c r="B72" i="64"/>
  <c r="AI71" i="64"/>
  <c r="AH71" i="64"/>
  <c r="AI70" i="64"/>
  <c r="AH70" i="64"/>
  <c r="AI69" i="64"/>
  <c r="AH69" i="64"/>
  <c r="AF68" i="64"/>
  <c r="AE68" i="64"/>
  <c r="AD68" i="64"/>
  <c r="AC68" i="64"/>
  <c r="AB68" i="64"/>
  <c r="R68" i="64"/>
  <c r="Q68" i="64"/>
  <c r="P68" i="64"/>
  <c r="O68" i="64"/>
  <c r="N68" i="64"/>
  <c r="M68" i="64"/>
  <c r="L68" i="64"/>
  <c r="K68" i="64"/>
  <c r="J68" i="64"/>
  <c r="I68" i="64"/>
  <c r="H68" i="64"/>
  <c r="G68" i="64"/>
  <c r="F68" i="64"/>
  <c r="E68" i="64"/>
  <c r="D68" i="64"/>
  <c r="C68" i="64"/>
  <c r="B68" i="64"/>
  <c r="AI67" i="64"/>
  <c r="AH67" i="64"/>
  <c r="AG67" i="64"/>
  <c r="AG68" i="64" s="1"/>
  <c r="AG3" i="64" s="1"/>
  <c r="AI66" i="64"/>
  <c r="AH66" i="64"/>
  <c r="AI65" i="64"/>
  <c r="AH65" i="64"/>
  <c r="AI64" i="64"/>
  <c r="AH64" i="64"/>
  <c r="AI63" i="64"/>
  <c r="AH63" i="64"/>
  <c r="AI62" i="64"/>
  <c r="AH62" i="64"/>
  <c r="AI61" i="64"/>
  <c r="AH61" i="64"/>
  <c r="AI60" i="64"/>
  <c r="AH60" i="64"/>
  <c r="AI59" i="64"/>
  <c r="AH59" i="64"/>
  <c r="AI58" i="64"/>
  <c r="AH58" i="64"/>
  <c r="AI57" i="64"/>
  <c r="AH57" i="64"/>
  <c r="AI56" i="64"/>
  <c r="AH56" i="64"/>
  <c r="AI55" i="64"/>
  <c r="AH55" i="64"/>
  <c r="AG54" i="64"/>
  <c r="AE54" i="64"/>
  <c r="AD54" i="64"/>
  <c r="AC54" i="64"/>
  <c r="AB54" i="64"/>
  <c r="R54" i="64"/>
  <c r="Q54" i="64"/>
  <c r="P54" i="64"/>
  <c r="O54" i="64"/>
  <c r="N54" i="64"/>
  <c r="M54" i="64"/>
  <c r="L54" i="64"/>
  <c r="K54" i="64"/>
  <c r="J54" i="64"/>
  <c r="I54" i="64"/>
  <c r="H54" i="64"/>
  <c r="G54" i="64"/>
  <c r="F54" i="64"/>
  <c r="E54" i="64"/>
  <c r="D54" i="64"/>
  <c r="C54" i="64"/>
  <c r="B54" i="64"/>
  <c r="AI53" i="64"/>
  <c r="AH53" i="64"/>
  <c r="AI52" i="64"/>
  <c r="AH52" i="64"/>
  <c r="AI51" i="64"/>
  <c r="AH51" i="64"/>
  <c r="AG50" i="64"/>
  <c r="AE50" i="64"/>
  <c r="AD50" i="64"/>
  <c r="AC50" i="64"/>
  <c r="AB50" i="64"/>
  <c r="R50" i="64"/>
  <c r="Q50" i="64"/>
  <c r="P50" i="64"/>
  <c r="O50" i="64"/>
  <c r="N50" i="64"/>
  <c r="M50" i="64"/>
  <c r="L50" i="64"/>
  <c r="K50" i="64"/>
  <c r="J50" i="64"/>
  <c r="I50" i="64"/>
  <c r="H50" i="64"/>
  <c r="G50" i="64"/>
  <c r="F50" i="64"/>
  <c r="E50" i="64"/>
  <c r="D50" i="64"/>
  <c r="C50" i="64"/>
  <c r="B50" i="64"/>
  <c r="AI49" i="64"/>
  <c r="AH49" i="64"/>
  <c r="AI48" i="64"/>
  <c r="AH48" i="64"/>
  <c r="AI47" i="64"/>
  <c r="AH47" i="64"/>
  <c r="AI46" i="64"/>
  <c r="AH46" i="64"/>
  <c r="AI45" i="64"/>
  <c r="AH45" i="64"/>
  <c r="AI44" i="64"/>
  <c r="AH44" i="64"/>
  <c r="AI43" i="64"/>
  <c r="AH43" i="64"/>
  <c r="AI42" i="64"/>
  <c r="AH42" i="64"/>
  <c r="AI41" i="64"/>
  <c r="AH41" i="64"/>
  <c r="AI40" i="64"/>
  <c r="AH40" i="64"/>
  <c r="AI39" i="64"/>
  <c r="AH39" i="64"/>
  <c r="AI38" i="64"/>
  <c r="AH38" i="64"/>
  <c r="AI37" i="64"/>
  <c r="AH37" i="64"/>
  <c r="AI36" i="64"/>
  <c r="AH36" i="64"/>
  <c r="AI35" i="64"/>
  <c r="AH35" i="64"/>
  <c r="AI34" i="64"/>
  <c r="AH34" i="64"/>
  <c r="AI33" i="64"/>
  <c r="AH33" i="64"/>
  <c r="AI32" i="64"/>
  <c r="AH32" i="64"/>
  <c r="AI31" i="64"/>
  <c r="AH31" i="64"/>
  <c r="AI30" i="64"/>
  <c r="AH30" i="64"/>
  <c r="AI29" i="64"/>
  <c r="AH29" i="64"/>
  <c r="AI28" i="64"/>
  <c r="AH28" i="64"/>
  <c r="AI27" i="64"/>
  <c r="AH27" i="64"/>
  <c r="AI26" i="64"/>
  <c r="AH26" i="64"/>
  <c r="AI25" i="64"/>
  <c r="AH25" i="64"/>
  <c r="AI24" i="64"/>
  <c r="AH24" i="64"/>
  <c r="AI23" i="64"/>
  <c r="AH23" i="64"/>
  <c r="AI22" i="64"/>
  <c r="AH22" i="64"/>
  <c r="AI21" i="64"/>
  <c r="AH21" i="64"/>
  <c r="AI20" i="64"/>
  <c r="AH20" i="64"/>
  <c r="AI19" i="64"/>
  <c r="AH19" i="64"/>
  <c r="AI18" i="64"/>
  <c r="AH18" i="64"/>
  <c r="AI17" i="64"/>
  <c r="AH17" i="64"/>
  <c r="AI16" i="64"/>
  <c r="AH16" i="64"/>
  <c r="AI15" i="64"/>
  <c r="AH15" i="64"/>
  <c r="AI14" i="64"/>
  <c r="AH14" i="64"/>
  <c r="AI13" i="64"/>
  <c r="AH13" i="64"/>
  <c r="AI12" i="64"/>
  <c r="AH12" i="64"/>
  <c r="AI11" i="64"/>
  <c r="AH11" i="64"/>
  <c r="AF5" i="64"/>
  <c r="Z5" i="64"/>
  <c r="Y5" i="64"/>
  <c r="V5" i="64"/>
  <c r="T5" i="64"/>
  <c r="S5" i="64"/>
  <c r="R5" i="64"/>
  <c r="L5" i="64"/>
  <c r="J5" i="64"/>
  <c r="AG4" i="64"/>
  <c r="K4" i="64"/>
  <c r="E4" i="64"/>
  <c r="H4" i="64" s="1"/>
  <c r="B4" i="64"/>
  <c r="S246" i="64" s="1"/>
  <c r="AG2" i="64"/>
  <c r="AD49" i="63"/>
  <c r="AC49" i="63"/>
  <c r="AB49" i="63"/>
  <c r="AA49" i="63"/>
  <c r="Z49" i="63"/>
  <c r="N270" i="65" l="1"/>
  <c r="P234" i="65"/>
  <c r="O270" i="65" s="1"/>
  <c r="AI110" i="65"/>
  <c r="AH110" i="65"/>
  <c r="AF89" i="64"/>
  <c r="AF91" i="64" s="1"/>
  <c r="AD5" i="64"/>
  <c r="AB100" i="64"/>
  <c r="AC100" i="64"/>
  <c r="AD100" i="64"/>
  <c r="AC89" i="64"/>
  <c r="AC91" i="64" s="1"/>
  <c r="AU249" i="64" s="1"/>
  <c r="AD89" i="64"/>
  <c r="AD91" i="64" s="1"/>
  <c r="AD7" i="64" s="1"/>
  <c r="AA5" i="64"/>
  <c r="AB89" i="64"/>
  <c r="AB91" i="64" s="1"/>
  <c r="AB92" i="64" s="1"/>
  <c r="R89" i="64"/>
  <c r="R91" i="64" s="1"/>
  <c r="R100" i="64"/>
  <c r="Q100" i="64"/>
  <c r="Q89" i="64"/>
  <c r="Q91" i="64" s="1"/>
  <c r="Q92" i="64" s="1"/>
  <c r="AI72" i="64"/>
  <c r="N5" i="64"/>
  <c r="P89" i="64"/>
  <c r="P91" i="64" s="1"/>
  <c r="AH249" i="64" s="1"/>
  <c r="N89" i="64"/>
  <c r="N91" i="64" s="1"/>
  <c r="N7" i="64" s="1"/>
  <c r="M89" i="64"/>
  <c r="M91" i="64" s="1"/>
  <c r="M7" i="64" s="1"/>
  <c r="L89" i="64"/>
  <c r="L91" i="64" s="1"/>
  <c r="K5" i="64"/>
  <c r="K89" i="64"/>
  <c r="K91" i="64" s="1"/>
  <c r="K92" i="64" s="1"/>
  <c r="J100" i="64"/>
  <c r="J89" i="64"/>
  <c r="J91" i="64" s="1"/>
  <c r="J7" i="64" s="1"/>
  <c r="I100" i="64"/>
  <c r="I89" i="64"/>
  <c r="I91" i="64" s="1"/>
  <c r="AA249" i="64" s="1"/>
  <c r="H89" i="64"/>
  <c r="H91" i="64" s="1"/>
  <c r="H92" i="64" s="1"/>
  <c r="G100" i="64"/>
  <c r="AI54" i="64"/>
  <c r="D5" i="64"/>
  <c r="E89" i="64"/>
  <c r="E91" i="64" s="1"/>
  <c r="W249" i="64" s="1"/>
  <c r="D100" i="64"/>
  <c r="C5" i="64"/>
  <c r="D89" i="64"/>
  <c r="D91" i="64" s="1"/>
  <c r="D92" i="64" s="1"/>
  <c r="C100" i="64"/>
  <c r="AI99" i="64"/>
  <c r="B5" i="64"/>
  <c r="C89" i="64"/>
  <c r="C91" i="64" s="1"/>
  <c r="U249" i="64" s="1"/>
  <c r="B89" i="64"/>
  <c r="D246" i="64"/>
  <c r="AI249" i="64"/>
  <c r="Q7" i="64"/>
  <c r="AQ249" i="64"/>
  <c r="Y7" i="64"/>
  <c r="C7" i="64"/>
  <c r="AG6" i="64"/>
  <c r="G89" i="64"/>
  <c r="G91" i="64" s="1"/>
  <c r="O89" i="64"/>
  <c r="O91" i="64" s="1"/>
  <c r="AE89" i="64"/>
  <c r="AE91" i="64" s="1"/>
  <c r="E7" i="64"/>
  <c r="P7" i="64"/>
  <c r="X7" i="64"/>
  <c r="AP249" i="64"/>
  <c r="AF92" i="64"/>
  <c r="AF7" i="64"/>
  <c r="AX249" i="64"/>
  <c r="AG89" i="64"/>
  <c r="F234" i="64"/>
  <c r="B91" i="64"/>
  <c r="J92" i="64"/>
  <c r="R7" i="64"/>
  <c r="R92" i="64"/>
  <c r="Z7" i="64"/>
  <c r="AR249" i="64"/>
  <c r="AH72" i="64"/>
  <c r="AK249" i="64"/>
  <c r="S7" i="64"/>
  <c r="Z249" i="64"/>
  <c r="AI68" i="64"/>
  <c r="N92" i="64"/>
  <c r="V7" i="64"/>
  <c r="AN249" i="64"/>
  <c r="G5" i="64"/>
  <c r="H100" i="64"/>
  <c r="O5" i="64"/>
  <c r="P100" i="64"/>
  <c r="W5" i="64"/>
  <c r="AE5" i="64"/>
  <c r="AF100" i="64"/>
  <c r="U7" i="64"/>
  <c r="AM249" i="64"/>
  <c r="AG91" i="64"/>
  <c r="AJ249" i="64"/>
  <c r="T7" i="64"/>
  <c r="AL249" i="64"/>
  <c r="AS249" i="64"/>
  <c r="AA7" i="64"/>
  <c r="B100" i="64"/>
  <c r="AH99" i="64"/>
  <c r="L92" i="64"/>
  <c r="L7" i="64"/>
  <c r="AD249" i="64"/>
  <c r="AI84" i="64"/>
  <c r="AC92" i="64"/>
  <c r="D235" i="64"/>
  <c r="E229" i="64"/>
  <c r="D110" i="64"/>
  <c r="AH50" i="64"/>
  <c r="AH54" i="64"/>
  <c r="AI50" i="64"/>
  <c r="E5" i="64"/>
  <c r="M5" i="64"/>
  <c r="U5" i="64"/>
  <c r="AC5" i="64"/>
  <c r="AH84" i="64"/>
  <c r="F89" i="64"/>
  <c r="F91" i="64" s="1"/>
  <c r="AH68" i="64"/>
  <c r="B110" i="64"/>
  <c r="AC7" i="64" l="1"/>
  <c r="AD92" i="64"/>
  <c r="AV249" i="64"/>
  <c r="AT249" i="64"/>
  <c r="AB7" i="64"/>
  <c r="P92" i="64"/>
  <c r="AF249" i="64"/>
  <c r="M92" i="64"/>
  <c r="AE249" i="64"/>
  <c r="K7" i="64"/>
  <c r="AC249" i="64"/>
  <c r="AB249" i="64"/>
  <c r="I92" i="64"/>
  <c r="H7" i="64"/>
  <c r="I7" i="64"/>
  <c r="E92" i="64"/>
  <c r="V249" i="64"/>
  <c r="D7" i="64"/>
  <c r="C92" i="64"/>
  <c r="F7" i="64"/>
  <c r="X249" i="64"/>
  <c r="F92" i="64"/>
  <c r="AI89" i="64"/>
  <c r="AH91" i="64"/>
  <c r="B7" i="64"/>
  <c r="B92" i="64"/>
  <c r="AI91" i="64"/>
  <c r="T249" i="64"/>
  <c r="AH89" i="64"/>
  <c r="AW249" i="64"/>
  <c r="AE7" i="64"/>
  <c r="AE92" i="64"/>
  <c r="G234" i="64"/>
  <c r="E270" i="64"/>
  <c r="AO249" i="64"/>
  <c r="W7" i="64"/>
  <c r="AI100" i="64"/>
  <c r="AH100" i="64"/>
  <c r="AG249" i="64"/>
  <c r="O7" i="64"/>
  <c r="O92" i="64"/>
  <c r="F229" i="64"/>
  <c r="E110" i="64"/>
  <c r="E235" i="64"/>
  <c r="Y249" i="64"/>
  <c r="C244" i="64"/>
  <c r="B244" i="64"/>
  <c r="G7" i="64"/>
  <c r="G92" i="64"/>
  <c r="K6" i="64" l="1"/>
  <c r="AI92" i="64"/>
  <c r="AH92" i="64"/>
  <c r="F270" i="64"/>
  <c r="H234" i="64"/>
  <c r="A7" i="64"/>
  <c r="G229" i="64"/>
  <c r="F235" i="64"/>
  <c r="F110" i="64"/>
  <c r="G270" i="64" l="1"/>
  <c r="I234" i="64"/>
  <c r="H229" i="64"/>
  <c r="G110" i="64"/>
  <c r="G235" i="64"/>
  <c r="I229" i="64" l="1"/>
  <c r="H235" i="64"/>
  <c r="H110" i="64"/>
  <c r="H270" i="64"/>
  <c r="J234" i="64"/>
  <c r="K234" i="64" l="1"/>
  <c r="I270" i="64"/>
  <c r="I110" i="64"/>
  <c r="J229" i="64"/>
  <c r="J110" i="64" l="1"/>
  <c r="K229" i="64"/>
  <c r="J270" i="64"/>
  <c r="L234" i="64"/>
  <c r="K270" i="64" l="1"/>
  <c r="M234" i="64"/>
  <c r="K110" i="64"/>
  <c r="L229" i="64"/>
  <c r="M229" i="64" l="1"/>
  <c r="L110" i="64"/>
  <c r="L270" i="64"/>
  <c r="N234" i="64"/>
  <c r="O234" i="64" l="1"/>
  <c r="M270" i="64"/>
  <c r="N229" i="64"/>
  <c r="M110" i="64"/>
  <c r="O229" i="64" l="1"/>
  <c r="N110" i="64"/>
  <c r="N270" i="64"/>
  <c r="P234" i="64"/>
  <c r="O270" i="64" s="1"/>
  <c r="P229" i="64" l="1"/>
  <c r="O110" i="64"/>
  <c r="AI110" i="64" l="1"/>
  <c r="AH110" i="64"/>
  <c r="O49" i="63" l="1"/>
  <c r="N50" i="63"/>
  <c r="O50" i="63"/>
  <c r="N54" i="63"/>
  <c r="O54" i="63"/>
  <c r="M113" i="63"/>
  <c r="M49" i="63"/>
  <c r="M50" i="63"/>
  <c r="M54" i="63"/>
  <c r="L113" i="63" l="1"/>
  <c r="L49" i="63"/>
  <c r="K23" i="63"/>
  <c r="K113" i="63"/>
  <c r="K49" i="63"/>
  <c r="J49" i="63"/>
  <c r="I113" i="63" l="1"/>
  <c r="I49" i="63"/>
  <c r="H113" i="63"/>
  <c r="H49" i="63"/>
  <c r="G113" i="63"/>
  <c r="G49" i="63"/>
  <c r="F113" i="63"/>
  <c r="F49" i="63"/>
  <c r="E113" i="63" l="1"/>
  <c r="E49" i="63"/>
  <c r="D113" i="63" l="1"/>
  <c r="D49" i="63"/>
  <c r="C49" i="63"/>
  <c r="D50" i="63"/>
  <c r="D54" i="63"/>
  <c r="D68" i="63"/>
  <c r="D84" i="63"/>
  <c r="D99" i="63"/>
  <c r="D89" i="63" l="1"/>
  <c r="D91" i="63" s="1"/>
  <c r="D92" i="63" s="1"/>
  <c r="D100" i="63"/>
  <c r="C113" i="63"/>
  <c r="B113" i="63"/>
  <c r="B49" i="63"/>
  <c r="B99" i="63"/>
  <c r="B84" i="63"/>
  <c r="B100" i="63" s="1"/>
  <c r="B72" i="63"/>
  <c r="B68" i="63"/>
  <c r="B54" i="63"/>
  <c r="B50" i="63"/>
  <c r="B89" i="63" l="1"/>
  <c r="B91" i="63" s="1"/>
  <c r="B92" i="63" s="1"/>
  <c r="AF274" i="63"/>
  <c r="AE274" i="63"/>
  <c r="AD274" i="63"/>
  <c r="AC274" i="63"/>
  <c r="AB274" i="63"/>
  <c r="AA274" i="63"/>
  <c r="Z274" i="63"/>
  <c r="Y274" i="63"/>
  <c r="X274" i="63"/>
  <c r="W274" i="63"/>
  <c r="V274" i="63"/>
  <c r="U274" i="63"/>
  <c r="T274" i="63"/>
  <c r="S274" i="63"/>
  <c r="R274" i="63"/>
  <c r="Q274" i="63"/>
  <c r="P274" i="63"/>
  <c r="O274" i="63"/>
  <c r="N274" i="63"/>
  <c r="M274" i="63"/>
  <c r="L274" i="63"/>
  <c r="K274" i="63"/>
  <c r="J274" i="63"/>
  <c r="I274" i="63"/>
  <c r="H274" i="63"/>
  <c r="G274" i="63"/>
  <c r="F274" i="63"/>
  <c r="E274" i="63"/>
  <c r="D274" i="63"/>
  <c r="C274" i="63"/>
  <c r="B274" i="63"/>
  <c r="A274" i="63"/>
  <c r="AF273" i="63"/>
  <c r="AE273" i="63"/>
  <c r="AD273" i="63"/>
  <c r="AC273" i="63"/>
  <c r="AB273" i="63"/>
  <c r="AA273" i="63"/>
  <c r="Z273" i="63"/>
  <c r="Y273" i="63"/>
  <c r="X273" i="63"/>
  <c r="W273" i="63"/>
  <c r="V273" i="63"/>
  <c r="U273" i="63"/>
  <c r="T273" i="63"/>
  <c r="S273" i="63"/>
  <c r="R273" i="63"/>
  <c r="Q273" i="63"/>
  <c r="P273" i="63"/>
  <c r="O273" i="63"/>
  <c r="N273" i="63"/>
  <c r="M273" i="63"/>
  <c r="L273" i="63"/>
  <c r="K273" i="63"/>
  <c r="J273" i="63"/>
  <c r="I273" i="63"/>
  <c r="H273" i="63"/>
  <c r="G273" i="63"/>
  <c r="F273" i="63"/>
  <c r="E273" i="63"/>
  <c r="D273" i="63"/>
  <c r="C273" i="63"/>
  <c r="B273" i="63"/>
  <c r="A273" i="63"/>
  <c r="AF272" i="63"/>
  <c r="AE272" i="63"/>
  <c r="AD272" i="63"/>
  <c r="AC272" i="63"/>
  <c r="AB272" i="63"/>
  <c r="AA272" i="63"/>
  <c r="Z272" i="63"/>
  <c r="Y272" i="63"/>
  <c r="X272" i="63"/>
  <c r="W272" i="63"/>
  <c r="V272" i="63"/>
  <c r="U272" i="63"/>
  <c r="T272" i="63"/>
  <c r="S272" i="63"/>
  <c r="R272" i="63"/>
  <c r="Q272" i="63"/>
  <c r="P272" i="63"/>
  <c r="O272" i="63"/>
  <c r="N272" i="63"/>
  <c r="M272" i="63"/>
  <c r="L272" i="63"/>
  <c r="K272" i="63"/>
  <c r="J272" i="63"/>
  <c r="I272" i="63"/>
  <c r="H272" i="63"/>
  <c r="G272" i="63"/>
  <c r="F272" i="63"/>
  <c r="E272" i="63"/>
  <c r="D272" i="63"/>
  <c r="C272" i="63"/>
  <c r="B272" i="63"/>
  <c r="A272" i="63"/>
  <c r="AF271" i="63"/>
  <c r="AE271" i="63"/>
  <c r="AD271" i="63"/>
  <c r="AC271" i="63"/>
  <c r="AB271" i="63"/>
  <c r="AA271" i="63"/>
  <c r="Z271" i="63"/>
  <c r="Y271" i="63"/>
  <c r="X271" i="63"/>
  <c r="W271" i="63"/>
  <c r="V271" i="63"/>
  <c r="U271" i="63"/>
  <c r="T271" i="63"/>
  <c r="S271" i="63"/>
  <c r="R271" i="63"/>
  <c r="Q271" i="63"/>
  <c r="P271" i="63"/>
  <c r="O271" i="63"/>
  <c r="N271" i="63"/>
  <c r="M271" i="63"/>
  <c r="L271" i="63"/>
  <c r="K271" i="63"/>
  <c r="J271" i="63"/>
  <c r="I271" i="63"/>
  <c r="H271" i="63"/>
  <c r="G271" i="63"/>
  <c r="F271" i="63"/>
  <c r="E271" i="63"/>
  <c r="D271" i="63"/>
  <c r="C271" i="63"/>
  <c r="B271" i="63"/>
  <c r="A271" i="63"/>
  <c r="AE270" i="63"/>
  <c r="AD270" i="63"/>
  <c r="AC270" i="63"/>
  <c r="AB270" i="63"/>
  <c r="AA270" i="63"/>
  <c r="Z270" i="63"/>
  <c r="Y270" i="63"/>
  <c r="X270" i="63"/>
  <c r="W270" i="63"/>
  <c r="V270" i="63"/>
  <c r="U270" i="63"/>
  <c r="T270" i="63"/>
  <c r="S270" i="63"/>
  <c r="R270" i="63"/>
  <c r="Q270" i="63"/>
  <c r="P270" i="63"/>
  <c r="B270" i="63"/>
  <c r="S245" i="63"/>
  <c r="AG235" i="63"/>
  <c r="AF235" i="63"/>
  <c r="AE235" i="63"/>
  <c r="AD235" i="63"/>
  <c r="AC235" i="63"/>
  <c r="AB235" i="63"/>
  <c r="AA235" i="63"/>
  <c r="Z235" i="63"/>
  <c r="Y235" i="63"/>
  <c r="X235" i="63"/>
  <c r="W235" i="63"/>
  <c r="V235" i="63"/>
  <c r="U235" i="63"/>
  <c r="T235" i="63"/>
  <c r="S235" i="63"/>
  <c r="R235" i="63"/>
  <c r="Q235" i="63"/>
  <c r="C235" i="63"/>
  <c r="D234" i="63"/>
  <c r="C270" i="63" s="1"/>
  <c r="B234" i="63"/>
  <c r="AF270" i="63" s="1"/>
  <c r="D233" i="63"/>
  <c r="E233" i="63" s="1"/>
  <c r="F233" i="63" s="1"/>
  <c r="G233" i="63" s="1"/>
  <c r="H233" i="63" s="1"/>
  <c r="I233" i="63" s="1"/>
  <c r="J233" i="63" s="1"/>
  <c r="K233" i="63" s="1"/>
  <c r="L233" i="63" s="1"/>
  <c r="M233" i="63" s="1"/>
  <c r="N233" i="63" s="1"/>
  <c r="O233" i="63" s="1"/>
  <c r="P233" i="63" s="1"/>
  <c r="B233" i="63"/>
  <c r="D232" i="63"/>
  <c r="E232" i="63" s="1"/>
  <c r="F232" i="63" s="1"/>
  <c r="G232" i="63" s="1"/>
  <c r="H232" i="63" s="1"/>
  <c r="I232" i="63" s="1"/>
  <c r="B232" i="63"/>
  <c r="D231" i="63"/>
  <c r="E231" i="63" s="1"/>
  <c r="F231" i="63" s="1"/>
  <c r="G231" i="63" s="1"/>
  <c r="H231" i="63" s="1"/>
  <c r="B231" i="63"/>
  <c r="D230" i="63"/>
  <c r="B230" i="63"/>
  <c r="D229" i="63"/>
  <c r="B229" i="63"/>
  <c r="B235" i="63" s="1"/>
  <c r="AG227" i="63"/>
  <c r="AF227" i="63"/>
  <c r="AE227" i="63"/>
  <c r="AD227" i="63"/>
  <c r="AC227" i="63"/>
  <c r="AB227" i="63"/>
  <c r="AA227" i="63"/>
  <c r="Z227" i="63"/>
  <c r="Y227" i="63"/>
  <c r="X227" i="63"/>
  <c r="W227" i="63"/>
  <c r="V227" i="63"/>
  <c r="U227" i="63"/>
  <c r="T227" i="63"/>
  <c r="S227" i="63"/>
  <c r="R227" i="63"/>
  <c r="Q227" i="63"/>
  <c r="P227" i="63"/>
  <c r="O227" i="63"/>
  <c r="N227" i="63"/>
  <c r="M227" i="63"/>
  <c r="L227" i="63"/>
  <c r="K227" i="63"/>
  <c r="J227" i="63"/>
  <c r="I227" i="63"/>
  <c r="H227" i="63"/>
  <c r="G227" i="63"/>
  <c r="F227" i="63"/>
  <c r="E227" i="63"/>
  <c r="D227" i="63"/>
  <c r="C227" i="63"/>
  <c r="B227" i="63"/>
  <c r="AI120" i="63"/>
  <c r="AH120" i="63"/>
  <c r="AI119" i="63"/>
  <c r="AH119" i="63"/>
  <c r="AI118" i="63"/>
  <c r="AH118" i="63"/>
  <c r="AI117" i="63"/>
  <c r="AH117" i="63"/>
  <c r="AI116" i="63"/>
  <c r="AH116" i="63"/>
  <c r="AI115" i="63"/>
  <c r="AH115" i="63"/>
  <c r="AI114" i="63"/>
  <c r="AH114" i="63"/>
  <c r="AI113" i="63"/>
  <c r="AH113" i="63"/>
  <c r="AI112" i="63"/>
  <c r="AH112" i="63"/>
  <c r="AI111" i="63"/>
  <c r="AH111" i="63"/>
  <c r="AF110" i="63"/>
  <c r="AE110" i="63"/>
  <c r="AC110" i="63"/>
  <c r="AB110" i="63"/>
  <c r="AA110" i="63"/>
  <c r="Z110" i="63"/>
  <c r="Y110" i="63"/>
  <c r="X110" i="63"/>
  <c r="W110" i="63"/>
  <c r="V110" i="63"/>
  <c r="U110" i="63"/>
  <c r="T110" i="63"/>
  <c r="S110" i="63"/>
  <c r="R110" i="63"/>
  <c r="Q110" i="63"/>
  <c r="C110" i="63"/>
  <c r="AI109" i="63"/>
  <c r="AH109" i="63"/>
  <c r="AI108" i="63"/>
  <c r="AH108" i="63"/>
  <c r="AI107" i="63"/>
  <c r="AH107" i="63"/>
  <c r="AI106" i="63"/>
  <c r="AH106" i="63"/>
  <c r="AI105" i="63"/>
  <c r="AH105" i="63"/>
  <c r="AI104" i="63"/>
  <c r="AH104" i="63"/>
  <c r="AI103" i="63"/>
  <c r="AH103" i="63"/>
  <c r="AI102" i="63"/>
  <c r="AH102" i="63"/>
  <c r="AI101" i="63"/>
  <c r="AH101" i="63"/>
  <c r="AF99" i="63"/>
  <c r="AE99" i="63"/>
  <c r="AD99" i="63"/>
  <c r="AC99" i="63"/>
  <c r="AB99" i="63"/>
  <c r="AA99" i="63"/>
  <c r="Z99" i="63"/>
  <c r="Y99" i="63"/>
  <c r="X99" i="63"/>
  <c r="W99" i="63"/>
  <c r="V99" i="63"/>
  <c r="U99" i="63"/>
  <c r="T99" i="63"/>
  <c r="S99" i="63"/>
  <c r="R99" i="63"/>
  <c r="Q99" i="63"/>
  <c r="P99" i="63"/>
  <c r="O99" i="63"/>
  <c r="N99" i="63"/>
  <c r="M99" i="63"/>
  <c r="L99" i="63"/>
  <c r="K99" i="63"/>
  <c r="J99" i="63"/>
  <c r="I99" i="63"/>
  <c r="H99" i="63"/>
  <c r="G99" i="63"/>
  <c r="F99" i="63"/>
  <c r="E99" i="63"/>
  <c r="C99" i="63"/>
  <c r="AI98" i="63"/>
  <c r="AH98" i="63"/>
  <c r="AI97" i="63"/>
  <c r="AH97" i="63"/>
  <c r="AI96" i="63"/>
  <c r="AH96" i="63"/>
  <c r="AI95" i="63"/>
  <c r="AH95" i="63"/>
  <c r="AI94" i="63"/>
  <c r="AH94" i="63"/>
  <c r="AI93" i="63"/>
  <c r="AH93" i="63"/>
  <c r="AI90" i="63"/>
  <c r="AH90" i="63"/>
  <c r="AI88" i="63"/>
  <c r="AH88" i="63"/>
  <c r="AG88" i="63"/>
  <c r="AI87" i="63"/>
  <c r="AH87" i="63"/>
  <c r="AI86" i="63"/>
  <c r="AH86" i="63"/>
  <c r="AI85" i="63"/>
  <c r="AH85" i="63"/>
  <c r="AG84" i="63"/>
  <c r="AF84" i="63"/>
  <c r="AE84" i="63"/>
  <c r="AD5" i="63" s="1"/>
  <c r="AD84" i="63"/>
  <c r="AD100" i="63" s="1"/>
  <c r="AC84" i="63"/>
  <c r="AB5" i="63" s="1"/>
  <c r="AB84" i="63"/>
  <c r="AB100" i="63" s="1"/>
  <c r="AA84" i="63"/>
  <c r="Z5" i="63" s="1"/>
  <c r="Z84" i="63"/>
  <c r="Y5" i="63" s="1"/>
  <c r="Y84" i="63"/>
  <c r="X5" i="63" s="1"/>
  <c r="X84" i="63"/>
  <c r="X100" i="63" s="1"/>
  <c r="W84" i="63"/>
  <c r="V5" i="63" s="1"/>
  <c r="V84" i="63"/>
  <c r="V100" i="63" s="1"/>
  <c r="U84" i="63"/>
  <c r="U100" i="63" s="1"/>
  <c r="T84" i="63"/>
  <c r="S84" i="63"/>
  <c r="R84" i="63"/>
  <c r="Q5" i="63" s="1"/>
  <c r="Q84" i="63"/>
  <c r="P5" i="63" s="1"/>
  <c r="P84" i="63"/>
  <c r="P100" i="63" s="1"/>
  <c r="O84" i="63"/>
  <c r="N5" i="63" s="1"/>
  <c r="N84" i="63"/>
  <c r="N100" i="63" s="1"/>
  <c r="M84" i="63"/>
  <c r="M100" i="63" s="1"/>
  <c r="L84" i="63"/>
  <c r="K84" i="63"/>
  <c r="J5" i="63" s="1"/>
  <c r="J84" i="63"/>
  <c r="I84" i="63"/>
  <c r="H84" i="63"/>
  <c r="H100" i="63" s="1"/>
  <c r="G84" i="63"/>
  <c r="F5" i="63" s="1"/>
  <c r="F84" i="63"/>
  <c r="F100" i="63" s="1"/>
  <c r="E84" i="63"/>
  <c r="E100" i="63" s="1"/>
  <c r="C84" i="63"/>
  <c r="AF5" i="63"/>
  <c r="AI83" i="63"/>
  <c r="AH83" i="63"/>
  <c r="AI82" i="63"/>
  <c r="AH82" i="63"/>
  <c r="AI81" i="63"/>
  <c r="AH81" i="63"/>
  <c r="AI80" i="63"/>
  <c r="AH80" i="63"/>
  <c r="AI79" i="63"/>
  <c r="AH79" i="63"/>
  <c r="AI78" i="63"/>
  <c r="AH78" i="63"/>
  <c r="AI77" i="63"/>
  <c r="AH77" i="63"/>
  <c r="AI76" i="63"/>
  <c r="AH76" i="63"/>
  <c r="AI75" i="63"/>
  <c r="AH75" i="63"/>
  <c r="AI74" i="63"/>
  <c r="AH74" i="63"/>
  <c r="AI73" i="63"/>
  <c r="AH73" i="63"/>
  <c r="AG72" i="63"/>
  <c r="AF72" i="63"/>
  <c r="AE72" i="63"/>
  <c r="AD72" i="63"/>
  <c r="AC72" i="63"/>
  <c r="AB72" i="63"/>
  <c r="AA72" i="63"/>
  <c r="Z72" i="63"/>
  <c r="Y72" i="63"/>
  <c r="X72" i="63"/>
  <c r="W72" i="63"/>
  <c r="V72" i="63"/>
  <c r="U72" i="63"/>
  <c r="T72" i="63"/>
  <c r="S72" i="63"/>
  <c r="R72" i="63"/>
  <c r="Q72" i="63"/>
  <c r="P72" i="63"/>
  <c r="O72" i="63"/>
  <c r="N72" i="63"/>
  <c r="M72" i="63"/>
  <c r="L72" i="63"/>
  <c r="AI71" i="63"/>
  <c r="AH71" i="63"/>
  <c r="AI70" i="63"/>
  <c r="AH70" i="63"/>
  <c r="AI69" i="63"/>
  <c r="AH69" i="63"/>
  <c r="AF68" i="63"/>
  <c r="AE68" i="63"/>
  <c r="AD68" i="63"/>
  <c r="AC68" i="63"/>
  <c r="AB68" i="63"/>
  <c r="AA68" i="63"/>
  <c r="Z68" i="63"/>
  <c r="Y68" i="63"/>
  <c r="X68" i="63"/>
  <c r="W68" i="63"/>
  <c r="V68" i="63"/>
  <c r="U68" i="63"/>
  <c r="T68" i="63"/>
  <c r="S68" i="63"/>
  <c r="R68" i="63"/>
  <c r="Q68" i="63"/>
  <c r="P68" i="63"/>
  <c r="O68" i="63"/>
  <c r="N68" i="63"/>
  <c r="M68" i="63"/>
  <c r="L68" i="63"/>
  <c r="K68" i="63"/>
  <c r="J68" i="63"/>
  <c r="I68" i="63"/>
  <c r="H68" i="63"/>
  <c r="G68" i="63"/>
  <c r="F68" i="63"/>
  <c r="E68" i="63"/>
  <c r="C68" i="63"/>
  <c r="AI67" i="63"/>
  <c r="AH67" i="63"/>
  <c r="AG67" i="63"/>
  <c r="AG68" i="63" s="1"/>
  <c r="AG3" i="63" s="1"/>
  <c r="AI66" i="63"/>
  <c r="AH66" i="63"/>
  <c r="AI65" i="63"/>
  <c r="AH65" i="63"/>
  <c r="AI64" i="63"/>
  <c r="AH64" i="63"/>
  <c r="AI63" i="63"/>
  <c r="AH63" i="63"/>
  <c r="AI62" i="63"/>
  <c r="AH62" i="63"/>
  <c r="AI61" i="63"/>
  <c r="AH61" i="63"/>
  <c r="AI60" i="63"/>
  <c r="AH60" i="63"/>
  <c r="AI59" i="63"/>
  <c r="AH59" i="63"/>
  <c r="AI58" i="63"/>
  <c r="AH58" i="63"/>
  <c r="AI57" i="63"/>
  <c r="AH57" i="63"/>
  <c r="AI56" i="63"/>
  <c r="AH56" i="63"/>
  <c r="AI55" i="63"/>
  <c r="AH55" i="63"/>
  <c r="AG54" i="63"/>
  <c r="AF54" i="63"/>
  <c r="AE54" i="63"/>
  <c r="AD54" i="63"/>
  <c r="AC54" i="63"/>
  <c r="AB54" i="63"/>
  <c r="AA54" i="63"/>
  <c r="Z54" i="63"/>
  <c r="Y54" i="63"/>
  <c r="X54" i="63"/>
  <c r="W54" i="63"/>
  <c r="V54" i="63"/>
  <c r="U54" i="63"/>
  <c r="T54" i="63"/>
  <c r="S54" i="63"/>
  <c r="R54" i="63"/>
  <c r="Q54" i="63"/>
  <c r="P54" i="63"/>
  <c r="L54" i="63"/>
  <c r="K54" i="63"/>
  <c r="J54" i="63"/>
  <c r="I54" i="63"/>
  <c r="H54" i="63"/>
  <c r="G54" i="63"/>
  <c r="F54" i="63"/>
  <c r="E54" i="63"/>
  <c r="C54" i="63"/>
  <c r="AI53" i="63"/>
  <c r="AH53" i="63"/>
  <c r="AI52" i="63"/>
  <c r="AH52" i="63"/>
  <c r="AI51" i="63"/>
  <c r="AH51" i="63"/>
  <c r="AG50" i="63"/>
  <c r="AF50" i="63"/>
  <c r="AE50" i="63"/>
  <c r="AD50" i="63"/>
  <c r="AC50" i="63"/>
  <c r="AB50" i="63"/>
  <c r="AA50" i="63"/>
  <c r="Z50" i="63"/>
  <c r="Y50" i="63"/>
  <c r="X50" i="63"/>
  <c r="W50" i="63"/>
  <c r="V50" i="63"/>
  <c r="U50" i="63"/>
  <c r="T50" i="63"/>
  <c r="S50" i="63"/>
  <c r="R50" i="63"/>
  <c r="Q50" i="63"/>
  <c r="P50" i="63"/>
  <c r="L50" i="63"/>
  <c r="K50" i="63"/>
  <c r="J50" i="63"/>
  <c r="I50" i="63"/>
  <c r="H50" i="63"/>
  <c r="G50" i="63"/>
  <c r="F50" i="63"/>
  <c r="E50" i="63"/>
  <c r="C50" i="63"/>
  <c r="AI49" i="63"/>
  <c r="AH49" i="63"/>
  <c r="AI48" i="63"/>
  <c r="AH48" i="63"/>
  <c r="AI47" i="63"/>
  <c r="AH47" i="63"/>
  <c r="AI46" i="63"/>
  <c r="AH46" i="63"/>
  <c r="AI45" i="63"/>
  <c r="AH45" i="63"/>
  <c r="AI44" i="63"/>
  <c r="AH44" i="63"/>
  <c r="AI43" i="63"/>
  <c r="AH43" i="63"/>
  <c r="AI42" i="63"/>
  <c r="AH42" i="63"/>
  <c r="AI41" i="63"/>
  <c r="AH41" i="63"/>
  <c r="AI40" i="63"/>
  <c r="AH40" i="63"/>
  <c r="AI39" i="63"/>
  <c r="AH39" i="63"/>
  <c r="AI38" i="63"/>
  <c r="AH38" i="63"/>
  <c r="AI37" i="63"/>
  <c r="AH37" i="63"/>
  <c r="AI36" i="63"/>
  <c r="AH36" i="63"/>
  <c r="AI35" i="63"/>
  <c r="AH35" i="63"/>
  <c r="AI34" i="63"/>
  <c r="AH34" i="63"/>
  <c r="AI33" i="63"/>
  <c r="AH33" i="63"/>
  <c r="AI32" i="63"/>
  <c r="AH32" i="63"/>
  <c r="AI31" i="63"/>
  <c r="AH31" i="63"/>
  <c r="AI30" i="63"/>
  <c r="AH30" i="63"/>
  <c r="AI29" i="63"/>
  <c r="AH29" i="63"/>
  <c r="AI28" i="63"/>
  <c r="AH28" i="63"/>
  <c r="AI27" i="63"/>
  <c r="AH27" i="63"/>
  <c r="AI26" i="63"/>
  <c r="AH26" i="63"/>
  <c r="AI25" i="63"/>
  <c r="AH25" i="63"/>
  <c r="AI24" i="63"/>
  <c r="AH24" i="63"/>
  <c r="AI23" i="63"/>
  <c r="AH23" i="63"/>
  <c r="AI22" i="63"/>
  <c r="AH22" i="63"/>
  <c r="AI21" i="63"/>
  <c r="AH21" i="63"/>
  <c r="AI20" i="63"/>
  <c r="AH20" i="63"/>
  <c r="AI19" i="63"/>
  <c r="AH19" i="63"/>
  <c r="AI18" i="63"/>
  <c r="AH18" i="63"/>
  <c r="AI17" i="63"/>
  <c r="AH17" i="63"/>
  <c r="AI16" i="63"/>
  <c r="AH16" i="63"/>
  <c r="AI15" i="63"/>
  <c r="AH15" i="63"/>
  <c r="AI14" i="63"/>
  <c r="AH14" i="63"/>
  <c r="AI13" i="63"/>
  <c r="AH13" i="63"/>
  <c r="AI12" i="63"/>
  <c r="AH12" i="63"/>
  <c r="AI11" i="63"/>
  <c r="AH11" i="63"/>
  <c r="AG4" i="63"/>
  <c r="K4" i="63"/>
  <c r="E4" i="63"/>
  <c r="H4" i="63" s="1"/>
  <c r="B4" i="63"/>
  <c r="S246" i="63" s="1"/>
  <c r="AF113" i="62"/>
  <c r="AF68" i="62"/>
  <c r="AF49" i="62"/>
  <c r="AF50" i="62"/>
  <c r="AE113" i="62"/>
  <c r="AE49" i="62"/>
  <c r="AE50" i="62"/>
  <c r="AE54" i="62"/>
  <c r="AE68" i="62"/>
  <c r="AF100" i="63" l="1"/>
  <c r="AE89" i="63"/>
  <c r="AE91" i="63" s="1"/>
  <c r="AE7" i="63" s="1"/>
  <c r="AC5" i="63"/>
  <c r="AD89" i="63"/>
  <c r="AD91" i="63" s="1"/>
  <c r="AD7" i="63" s="1"/>
  <c r="AA100" i="63"/>
  <c r="Y89" i="63"/>
  <c r="Y91" i="63" s="1"/>
  <c r="AA89" i="63"/>
  <c r="AA91" i="63" s="1"/>
  <c r="AA92" i="63" s="1"/>
  <c r="U5" i="63"/>
  <c r="V89" i="63"/>
  <c r="V91" i="63" s="1"/>
  <c r="V7" i="63" s="1"/>
  <c r="W89" i="63"/>
  <c r="W91" i="63" s="1"/>
  <c r="W92" i="63" s="1"/>
  <c r="T5" i="63"/>
  <c r="U89" i="63"/>
  <c r="U91" i="63" s="1"/>
  <c r="AM249" i="63" s="1"/>
  <c r="S100" i="63"/>
  <c r="R5" i="63"/>
  <c r="AI72" i="63"/>
  <c r="S89" i="63"/>
  <c r="S91" i="63" s="1"/>
  <c r="S92" i="63" s="1"/>
  <c r="Q89" i="63"/>
  <c r="Q91" i="63" s="1"/>
  <c r="Q7" i="63" s="1"/>
  <c r="O89" i="63"/>
  <c r="O91" i="63" s="1"/>
  <c r="O92" i="63" s="1"/>
  <c r="N89" i="63"/>
  <c r="N91" i="63" s="1"/>
  <c r="N7" i="63" s="1"/>
  <c r="L5" i="63"/>
  <c r="M89" i="63"/>
  <c r="M91" i="63" s="1"/>
  <c r="M7" i="63" s="1"/>
  <c r="AG249" i="63"/>
  <c r="O7" i="63"/>
  <c r="AW249" i="63"/>
  <c r="AC89" i="63"/>
  <c r="AC91" i="63" s="1"/>
  <c r="AC7" i="63" s="1"/>
  <c r="P89" i="63"/>
  <c r="P91" i="63" s="1"/>
  <c r="P92" i="63" s="1"/>
  <c r="X89" i="63"/>
  <c r="X91" i="63" s="1"/>
  <c r="AP249" i="63" s="1"/>
  <c r="AF89" i="63"/>
  <c r="AF91" i="63" s="1"/>
  <c r="AF92" i="63" s="1"/>
  <c r="AH72" i="63"/>
  <c r="I100" i="63"/>
  <c r="Q100" i="63"/>
  <c r="Y100" i="63"/>
  <c r="W100" i="63"/>
  <c r="J100" i="63"/>
  <c r="AG91" i="63"/>
  <c r="R100" i="63"/>
  <c r="Z100" i="63"/>
  <c r="M5" i="63"/>
  <c r="AE5" i="63"/>
  <c r="R89" i="63"/>
  <c r="R91" i="63" s="1"/>
  <c r="R92" i="63" s="1"/>
  <c r="Z89" i="63"/>
  <c r="Z91" i="63" s="1"/>
  <c r="AR249" i="63" s="1"/>
  <c r="AE100" i="63"/>
  <c r="E229" i="63"/>
  <c r="D110" i="63"/>
  <c r="O100" i="63"/>
  <c r="AG89" i="63"/>
  <c r="W5" i="63"/>
  <c r="C100" i="63"/>
  <c r="L100" i="63"/>
  <c r="T100" i="63"/>
  <c r="AG2" i="63"/>
  <c r="AG6" i="63" s="1"/>
  <c r="O5" i="63"/>
  <c r="L89" i="63"/>
  <c r="L91" i="63" s="1"/>
  <c r="L92" i="63" s="1"/>
  <c r="T89" i="63"/>
  <c r="T91" i="63" s="1"/>
  <c r="AL249" i="63" s="1"/>
  <c r="AB89" i="63"/>
  <c r="AB91" i="63" s="1"/>
  <c r="AT249" i="63" s="1"/>
  <c r="AC100" i="63"/>
  <c r="D235" i="63"/>
  <c r="B110" i="63"/>
  <c r="K100" i="63"/>
  <c r="I5" i="63"/>
  <c r="K89" i="63"/>
  <c r="K91" i="63" s="1"/>
  <c r="K92" i="63" s="1"/>
  <c r="J89" i="63"/>
  <c r="J91" i="63" s="1"/>
  <c r="J92" i="63" s="1"/>
  <c r="H5" i="63"/>
  <c r="AI99" i="63"/>
  <c r="I89" i="63"/>
  <c r="I91" i="63" s="1"/>
  <c r="I92" i="63" s="1"/>
  <c r="G5" i="63"/>
  <c r="H89" i="63"/>
  <c r="H91" i="63" s="1"/>
  <c r="H92" i="63" s="1"/>
  <c r="AI54" i="63"/>
  <c r="G100" i="63"/>
  <c r="AH54" i="63"/>
  <c r="G89" i="63"/>
  <c r="G91" i="63" s="1"/>
  <c r="G92" i="63" s="1"/>
  <c r="E5" i="63"/>
  <c r="F89" i="63"/>
  <c r="F91" i="63" s="1"/>
  <c r="X249" i="63" s="1"/>
  <c r="D5" i="63"/>
  <c r="AI68" i="63"/>
  <c r="E89" i="63"/>
  <c r="E91" i="63" s="1"/>
  <c r="E7" i="63" s="1"/>
  <c r="B5" i="63"/>
  <c r="C89" i="63"/>
  <c r="C91" i="63" s="1"/>
  <c r="C7" i="63" s="1"/>
  <c r="AH68" i="63"/>
  <c r="D7" i="63"/>
  <c r="V249" i="63"/>
  <c r="Y92" i="63"/>
  <c r="Y7" i="63"/>
  <c r="AQ249" i="63"/>
  <c r="U7" i="63"/>
  <c r="F229" i="63"/>
  <c r="E235" i="63"/>
  <c r="J232" i="63"/>
  <c r="K232" i="63" s="1"/>
  <c r="L232" i="63" s="1"/>
  <c r="M232" i="63" s="1"/>
  <c r="N232" i="63" s="1"/>
  <c r="O232" i="63" s="1"/>
  <c r="P232" i="63" s="1"/>
  <c r="D246" i="63"/>
  <c r="AI50" i="63"/>
  <c r="AH99" i="63"/>
  <c r="E230" i="63"/>
  <c r="F230" i="63" s="1"/>
  <c r="G230" i="63" s="1"/>
  <c r="H230" i="63" s="1"/>
  <c r="I230" i="63" s="1"/>
  <c r="J230" i="63" s="1"/>
  <c r="K230" i="63" s="1"/>
  <c r="L230" i="63" s="1"/>
  <c r="M230" i="63" s="1"/>
  <c r="N230" i="63" s="1"/>
  <c r="O230" i="63" s="1"/>
  <c r="P230" i="63" s="1"/>
  <c r="E234" i="63"/>
  <c r="E110" i="63" s="1"/>
  <c r="AE92" i="63"/>
  <c r="AH50" i="63"/>
  <c r="C5" i="63"/>
  <c r="K5" i="63"/>
  <c r="S5" i="63"/>
  <c r="AA5" i="63"/>
  <c r="AH84" i="63"/>
  <c r="AI84" i="63"/>
  <c r="AX249" i="63" l="1"/>
  <c r="AF7" i="63"/>
  <c r="AD92" i="63"/>
  <c r="AV249" i="63"/>
  <c r="AC92" i="63"/>
  <c r="AU249" i="63"/>
  <c r="AB7" i="63"/>
  <c r="AB92" i="63"/>
  <c r="AA7" i="63"/>
  <c r="AS249" i="63"/>
  <c r="V92" i="63"/>
  <c r="U92" i="63"/>
  <c r="AO249" i="63"/>
  <c r="AN249" i="63"/>
  <c r="Z7" i="63"/>
  <c r="Z92" i="63"/>
  <c r="W7" i="63"/>
  <c r="X92" i="63"/>
  <c r="X7" i="63"/>
  <c r="T7" i="63"/>
  <c r="T92" i="63"/>
  <c r="AK249" i="63"/>
  <c r="S7" i="63"/>
  <c r="AJ249" i="63"/>
  <c r="R7" i="63"/>
  <c r="Q92" i="63"/>
  <c r="AI249" i="63"/>
  <c r="N92" i="63"/>
  <c r="AF249" i="63"/>
  <c r="M92" i="63"/>
  <c r="AE249" i="63"/>
  <c r="L7" i="63"/>
  <c r="AD249" i="63"/>
  <c r="AH249" i="63"/>
  <c r="P7" i="63"/>
  <c r="AC249" i="63"/>
  <c r="K7" i="63"/>
  <c r="AB249" i="63"/>
  <c r="J7" i="63"/>
  <c r="AA249" i="63"/>
  <c r="I7" i="63"/>
  <c r="Z249" i="63"/>
  <c r="H7" i="63"/>
  <c r="Y249" i="63"/>
  <c r="C244" i="63"/>
  <c r="B244" i="63"/>
  <c r="G7" i="63"/>
  <c r="F7" i="63"/>
  <c r="F92" i="63"/>
  <c r="W249" i="63"/>
  <c r="AI89" i="63"/>
  <c r="E92" i="63"/>
  <c r="AH89" i="63"/>
  <c r="U249" i="63"/>
  <c r="C92" i="63"/>
  <c r="AI100" i="63"/>
  <c r="AH100" i="63"/>
  <c r="AI91" i="63"/>
  <c r="AH91" i="63"/>
  <c r="B7" i="63"/>
  <c r="T249" i="63"/>
  <c r="D270" i="63"/>
  <c r="F234" i="63"/>
  <c r="G229" i="63"/>
  <c r="F110" i="63"/>
  <c r="F235" i="63"/>
  <c r="K6" i="63" l="1"/>
  <c r="A7" i="63"/>
  <c r="AI92" i="63"/>
  <c r="AH92" i="63"/>
  <c r="H229" i="63"/>
  <c r="E270" i="63"/>
  <c r="G234" i="63"/>
  <c r="G110" i="63" s="1"/>
  <c r="F270" i="63" l="1"/>
  <c r="H234" i="63"/>
  <c r="G235" i="63"/>
  <c r="I229" i="63"/>
  <c r="H110" i="63"/>
  <c r="H235" i="63"/>
  <c r="J229" i="63" l="1"/>
  <c r="G270" i="63"/>
  <c r="I234" i="63"/>
  <c r="I110" i="63" s="1"/>
  <c r="AD113" i="62"/>
  <c r="AD49" i="62"/>
  <c r="AD23" i="62"/>
  <c r="AC113" i="62"/>
  <c r="AC49" i="62"/>
  <c r="AB113" i="62"/>
  <c r="AB49" i="62"/>
  <c r="H270" i="63" l="1"/>
  <c r="J234" i="63"/>
  <c r="J110" i="63"/>
  <c r="K229" i="63"/>
  <c r="L50" i="62"/>
  <c r="L54" i="62"/>
  <c r="L68" i="62"/>
  <c r="L84" i="62"/>
  <c r="L100" i="62" s="1"/>
  <c r="L99" i="62"/>
  <c r="L110" i="62"/>
  <c r="K50" i="62"/>
  <c r="K54" i="62"/>
  <c r="K68" i="62"/>
  <c r="K84" i="62"/>
  <c r="K100" i="62" s="1"/>
  <c r="K99" i="62"/>
  <c r="K110" i="62"/>
  <c r="J50" i="62"/>
  <c r="J54" i="62"/>
  <c r="J68" i="62"/>
  <c r="J84" i="62"/>
  <c r="J100" i="62" s="1"/>
  <c r="J99" i="62"/>
  <c r="J110" i="62"/>
  <c r="I50" i="62"/>
  <c r="I54" i="62"/>
  <c r="I68" i="62"/>
  <c r="I84" i="62"/>
  <c r="I100" i="62" s="1"/>
  <c r="I99" i="62"/>
  <c r="I110" i="62"/>
  <c r="H50" i="62"/>
  <c r="H54" i="62"/>
  <c r="H68" i="62"/>
  <c r="H84" i="62"/>
  <c r="H100" i="62" s="1"/>
  <c r="H99" i="62"/>
  <c r="H110" i="62"/>
  <c r="F50" i="62"/>
  <c r="G50" i="62"/>
  <c r="F54" i="62"/>
  <c r="G54" i="62"/>
  <c r="F68" i="62"/>
  <c r="G68" i="62"/>
  <c r="F84" i="62"/>
  <c r="F100" i="62" s="1"/>
  <c r="G84" i="62"/>
  <c r="G100" i="62" s="1"/>
  <c r="F99" i="62"/>
  <c r="G99" i="62"/>
  <c r="F110" i="62"/>
  <c r="G110" i="62"/>
  <c r="E50" i="62"/>
  <c r="E54" i="62"/>
  <c r="E68" i="62"/>
  <c r="E84" i="62"/>
  <c r="E99" i="62"/>
  <c r="E110" i="62"/>
  <c r="D50" i="62"/>
  <c r="D54" i="62"/>
  <c r="D68" i="62"/>
  <c r="D84" i="62"/>
  <c r="D100" i="62" s="1"/>
  <c r="D99" i="62"/>
  <c r="D110" i="62"/>
  <c r="AF274" i="62"/>
  <c r="AE274" i="62"/>
  <c r="AD274" i="62"/>
  <c r="AC274" i="62"/>
  <c r="AB274" i="62"/>
  <c r="AA274" i="62"/>
  <c r="Z274" i="62"/>
  <c r="Y274" i="62"/>
  <c r="X274" i="62"/>
  <c r="W274" i="62"/>
  <c r="V274" i="62"/>
  <c r="U274" i="62"/>
  <c r="T274" i="62"/>
  <c r="S274" i="62"/>
  <c r="R274" i="62"/>
  <c r="Q274" i="62"/>
  <c r="P274" i="62"/>
  <c r="O274" i="62"/>
  <c r="N274" i="62"/>
  <c r="M274" i="62"/>
  <c r="L274" i="62"/>
  <c r="K274" i="62"/>
  <c r="J274" i="62"/>
  <c r="I274" i="62"/>
  <c r="H274" i="62"/>
  <c r="G274" i="62"/>
  <c r="F274" i="62"/>
  <c r="E274" i="62"/>
  <c r="D274" i="62"/>
  <c r="C274" i="62"/>
  <c r="B274" i="62"/>
  <c r="A274" i="62"/>
  <c r="AF273" i="62"/>
  <c r="AE273" i="62"/>
  <c r="AD273" i="62"/>
  <c r="AC273" i="62"/>
  <c r="AB273" i="62"/>
  <c r="AA273" i="62"/>
  <c r="Z273" i="62"/>
  <c r="Y273" i="62"/>
  <c r="X273" i="62"/>
  <c r="W273" i="62"/>
  <c r="V273" i="62"/>
  <c r="U273" i="62"/>
  <c r="T273" i="62"/>
  <c r="S273" i="62"/>
  <c r="R273" i="62"/>
  <c r="Q273" i="62"/>
  <c r="P273" i="62"/>
  <c r="O273" i="62"/>
  <c r="N273" i="62"/>
  <c r="M273" i="62"/>
  <c r="L273" i="62"/>
  <c r="K273" i="62"/>
  <c r="J273" i="62"/>
  <c r="I273" i="62"/>
  <c r="H273" i="62"/>
  <c r="G273" i="62"/>
  <c r="F273" i="62"/>
  <c r="E273" i="62"/>
  <c r="D273" i="62"/>
  <c r="C273" i="62"/>
  <c r="B273" i="62"/>
  <c r="A273" i="62"/>
  <c r="AF272" i="62"/>
  <c r="AE272" i="62"/>
  <c r="AD272" i="62"/>
  <c r="AC272" i="62"/>
  <c r="AB272" i="62"/>
  <c r="AA272" i="62"/>
  <c r="Z272" i="62"/>
  <c r="Y272" i="62"/>
  <c r="X272" i="62"/>
  <c r="W272" i="62"/>
  <c r="V272" i="62"/>
  <c r="U272" i="62"/>
  <c r="T272" i="62"/>
  <c r="S272" i="62"/>
  <c r="R272" i="62"/>
  <c r="Q272" i="62"/>
  <c r="P272" i="62"/>
  <c r="O272" i="62"/>
  <c r="N272" i="62"/>
  <c r="M272" i="62"/>
  <c r="L272" i="62"/>
  <c r="K272" i="62"/>
  <c r="J272" i="62"/>
  <c r="I272" i="62"/>
  <c r="H272" i="62"/>
  <c r="G272" i="62"/>
  <c r="F272" i="62"/>
  <c r="E272" i="62"/>
  <c r="D272" i="62"/>
  <c r="C272" i="62"/>
  <c r="B272" i="62"/>
  <c r="A272" i="62"/>
  <c r="AF271" i="62"/>
  <c r="AE271" i="62"/>
  <c r="AD271" i="62"/>
  <c r="AC271" i="62"/>
  <c r="AB271" i="62"/>
  <c r="AA271" i="62"/>
  <c r="Z271" i="62"/>
  <c r="Y271" i="62"/>
  <c r="X271" i="62"/>
  <c r="W271" i="62"/>
  <c r="V271" i="62"/>
  <c r="U271" i="62"/>
  <c r="T271" i="62"/>
  <c r="S271" i="62"/>
  <c r="R271" i="62"/>
  <c r="Q271" i="62"/>
  <c r="P271" i="62"/>
  <c r="O271" i="62"/>
  <c r="N271" i="62"/>
  <c r="M271" i="62"/>
  <c r="L271" i="62"/>
  <c r="K271" i="62"/>
  <c r="J271" i="62"/>
  <c r="I271" i="62"/>
  <c r="H271" i="62"/>
  <c r="G271" i="62"/>
  <c r="F271" i="62"/>
  <c r="E271" i="62"/>
  <c r="D271" i="62"/>
  <c r="C271" i="62"/>
  <c r="B271" i="62"/>
  <c r="A271" i="62"/>
  <c r="AE270" i="62"/>
  <c r="AD270" i="62"/>
  <c r="AC270" i="62"/>
  <c r="AB270" i="62"/>
  <c r="AA270" i="62"/>
  <c r="Z270" i="62"/>
  <c r="Y270" i="62"/>
  <c r="X270" i="62"/>
  <c r="W270" i="62"/>
  <c r="V270" i="62"/>
  <c r="U270" i="62"/>
  <c r="T270" i="62"/>
  <c r="S270" i="62"/>
  <c r="R270" i="62"/>
  <c r="Q270" i="62"/>
  <c r="P270" i="62"/>
  <c r="B270" i="62"/>
  <c r="S245" i="62"/>
  <c r="AG235" i="62"/>
  <c r="AF235" i="62"/>
  <c r="AE235" i="62"/>
  <c r="AD235" i="62"/>
  <c r="AC235" i="62"/>
  <c r="AB235" i="62"/>
  <c r="AA235" i="62"/>
  <c r="Z235" i="62"/>
  <c r="Y235" i="62"/>
  <c r="X235" i="62"/>
  <c r="W235" i="62"/>
  <c r="V235" i="62"/>
  <c r="U235" i="62"/>
  <c r="T235" i="62"/>
  <c r="S235" i="62"/>
  <c r="R235" i="62"/>
  <c r="Q235" i="62"/>
  <c r="C235" i="62"/>
  <c r="D234" i="62"/>
  <c r="C270" i="62" s="1"/>
  <c r="B234" i="62"/>
  <c r="AF270" i="62" s="1"/>
  <c r="D233" i="62"/>
  <c r="E233" i="62" s="1"/>
  <c r="F233" i="62" s="1"/>
  <c r="G233" i="62" s="1"/>
  <c r="H233" i="62" s="1"/>
  <c r="I233" i="62" s="1"/>
  <c r="J233" i="62" s="1"/>
  <c r="K233" i="62" s="1"/>
  <c r="L233" i="62" s="1"/>
  <c r="M233" i="62" s="1"/>
  <c r="N233" i="62" s="1"/>
  <c r="O233" i="62" s="1"/>
  <c r="P233" i="62" s="1"/>
  <c r="B233" i="62"/>
  <c r="E232" i="62"/>
  <c r="F232" i="62" s="1"/>
  <c r="G232" i="62" s="1"/>
  <c r="H232" i="62" s="1"/>
  <c r="I232" i="62" s="1"/>
  <c r="D232" i="62"/>
  <c r="B232" i="62"/>
  <c r="F231" i="62"/>
  <c r="G231" i="62" s="1"/>
  <c r="H231" i="62" s="1"/>
  <c r="E231" i="62"/>
  <c r="D231" i="62"/>
  <c r="B231" i="62"/>
  <c r="D230" i="62"/>
  <c r="D235" i="62" s="1"/>
  <c r="B230" i="62"/>
  <c r="E229" i="62"/>
  <c r="F229" i="62" s="1"/>
  <c r="D229" i="62"/>
  <c r="B229" i="62"/>
  <c r="AG227" i="62"/>
  <c r="AF227" i="62"/>
  <c r="AE227" i="62"/>
  <c r="AD227" i="62"/>
  <c r="AC227" i="62"/>
  <c r="AB227" i="62"/>
  <c r="AA227" i="62"/>
  <c r="Z227" i="62"/>
  <c r="Y227" i="62"/>
  <c r="X227" i="62"/>
  <c r="W227" i="62"/>
  <c r="V227" i="62"/>
  <c r="U227" i="62"/>
  <c r="T227" i="62"/>
  <c r="S227" i="62"/>
  <c r="R227" i="62"/>
  <c r="Q227" i="62"/>
  <c r="P227" i="62"/>
  <c r="O227" i="62"/>
  <c r="N227" i="62"/>
  <c r="M227" i="62"/>
  <c r="L227" i="62"/>
  <c r="K227" i="62"/>
  <c r="J227" i="62"/>
  <c r="I227" i="62"/>
  <c r="H227" i="62"/>
  <c r="G227" i="62"/>
  <c r="F227" i="62"/>
  <c r="E227" i="62"/>
  <c r="D227" i="62"/>
  <c r="C227" i="62"/>
  <c r="B227" i="62"/>
  <c r="AI120" i="62"/>
  <c r="AH120" i="62"/>
  <c r="AI119" i="62"/>
  <c r="AH119" i="62"/>
  <c r="AI118" i="62"/>
  <c r="AH118" i="62"/>
  <c r="AI117" i="62"/>
  <c r="AH117" i="62"/>
  <c r="AI116" i="62"/>
  <c r="AH116" i="62"/>
  <c r="AI115" i="62"/>
  <c r="AH115" i="62"/>
  <c r="AI114" i="62"/>
  <c r="AH114" i="62"/>
  <c r="AI113" i="62"/>
  <c r="AH113" i="62"/>
  <c r="AI112" i="62"/>
  <c r="AH112" i="62"/>
  <c r="AI111" i="62"/>
  <c r="AH111" i="62"/>
  <c r="AF110" i="62"/>
  <c r="AE110" i="62"/>
  <c r="AC110" i="62"/>
  <c r="AB110" i="62"/>
  <c r="AA110" i="62"/>
  <c r="Z110" i="62"/>
  <c r="Y110" i="62"/>
  <c r="X110" i="62"/>
  <c r="W110" i="62"/>
  <c r="V110" i="62"/>
  <c r="U110" i="62"/>
  <c r="T110" i="62"/>
  <c r="S110" i="62"/>
  <c r="R110" i="62"/>
  <c r="Q110" i="62"/>
  <c r="C110" i="62"/>
  <c r="AI109" i="62"/>
  <c r="AH109" i="62"/>
  <c r="AI108" i="62"/>
  <c r="AH108" i="62"/>
  <c r="AI107" i="62"/>
  <c r="AH107" i="62"/>
  <c r="AI106" i="62"/>
  <c r="AH106" i="62"/>
  <c r="AI105" i="62"/>
  <c r="AH105" i="62"/>
  <c r="AI104" i="62"/>
  <c r="AH104" i="62"/>
  <c r="AI103" i="62"/>
  <c r="AH103" i="62"/>
  <c r="AI102" i="62"/>
  <c r="AH102" i="62"/>
  <c r="AI101" i="62"/>
  <c r="AH101" i="62"/>
  <c r="AF99" i="62"/>
  <c r="AE99" i="62"/>
  <c r="AD99" i="62"/>
  <c r="AC99" i="62"/>
  <c r="AB99" i="62"/>
  <c r="AA99" i="62"/>
  <c r="Z99" i="62"/>
  <c r="Y99" i="62"/>
  <c r="X99" i="62"/>
  <c r="W99" i="62"/>
  <c r="V99" i="62"/>
  <c r="U99" i="62"/>
  <c r="T99" i="62"/>
  <c r="S99" i="62"/>
  <c r="R99" i="62"/>
  <c r="Q99" i="62"/>
  <c r="P99" i="62"/>
  <c r="O99" i="62"/>
  <c r="N99" i="62"/>
  <c r="M99" i="62"/>
  <c r="C99" i="62"/>
  <c r="AI98" i="62"/>
  <c r="AH98" i="62"/>
  <c r="AI97" i="62"/>
  <c r="AH97" i="62"/>
  <c r="AI96" i="62"/>
  <c r="AH96" i="62"/>
  <c r="AI95" i="62"/>
  <c r="AH95" i="62"/>
  <c r="AI94" i="62"/>
  <c r="AH94" i="62"/>
  <c r="AI93" i="62"/>
  <c r="AH93" i="62"/>
  <c r="AI90" i="62"/>
  <c r="AH90" i="62"/>
  <c r="AI88" i="62"/>
  <c r="AH88" i="62"/>
  <c r="AG88" i="62"/>
  <c r="AG91" i="62" s="1"/>
  <c r="AI87" i="62"/>
  <c r="AH87" i="62"/>
  <c r="AI86" i="62"/>
  <c r="AH86" i="62"/>
  <c r="AI85" i="62"/>
  <c r="AH85" i="62"/>
  <c r="AG84" i="62"/>
  <c r="AF84" i="62"/>
  <c r="AE5" i="62" s="1"/>
  <c r="AE84" i="62"/>
  <c r="AD5" i="62" s="1"/>
  <c r="AD84" i="62"/>
  <c r="AD100" i="62" s="1"/>
  <c r="AC84" i="62"/>
  <c r="AC100" i="62" s="1"/>
  <c r="AB84" i="62"/>
  <c r="AB100" i="62" s="1"/>
  <c r="AA84" i="62"/>
  <c r="AA100" i="62" s="1"/>
  <c r="Z84" i="62"/>
  <c r="Z100" i="62" s="1"/>
  <c r="Y84" i="62"/>
  <c r="Y100" i="62" s="1"/>
  <c r="X84" i="62"/>
  <c r="W5" i="62" s="1"/>
  <c r="W84" i="62"/>
  <c r="V5" i="62" s="1"/>
  <c r="V84" i="62"/>
  <c r="U84" i="62"/>
  <c r="U100" i="62" s="1"/>
  <c r="T84" i="62"/>
  <c r="T100" i="62" s="1"/>
  <c r="S84" i="62"/>
  <c r="R5" i="62" s="1"/>
  <c r="R84" i="62"/>
  <c r="R100" i="62" s="1"/>
  <c r="Q84" i="62"/>
  <c r="Q100" i="62" s="1"/>
  <c r="P84" i="62"/>
  <c r="O5" i="62" s="1"/>
  <c r="O84" i="62"/>
  <c r="N5" i="62" s="1"/>
  <c r="N84" i="62"/>
  <c r="M84" i="62"/>
  <c r="M100" i="62" s="1"/>
  <c r="C84" i="62"/>
  <c r="C100" i="62" s="1"/>
  <c r="AI83" i="62"/>
  <c r="AH83" i="62"/>
  <c r="AI82" i="62"/>
  <c r="AH82" i="62"/>
  <c r="AI81" i="62"/>
  <c r="AH81" i="62"/>
  <c r="AI80" i="62"/>
  <c r="AH80" i="62"/>
  <c r="AI79" i="62"/>
  <c r="AH79" i="62"/>
  <c r="AI78" i="62"/>
  <c r="AH78" i="62"/>
  <c r="AI77" i="62"/>
  <c r="AH77" i="62"/>
  <c r="AI76" i="62"/>
  <c r="AH76" i="62"/>
  <c r="AI75" i="62"/>
  <c r="AH75" i="62"/>
  <c r="AI74" i="62"/>
  <c r="AH74" i="62"/>
  <c r="AI73" i="62"/>
  <c r="AH73" i="62"/>
  <c r="AG72" i="62"/>
  <c r="AF72" i="62"/>
  <c r="AE72" i="62"/>
  <c r="AD72" i="62"/>
  <c r="AC72" i="62"/>
  <c r="AB72" i="62"/>
  <c r="AA72" i="62"/>
  <c r="Z72" i="62"/>
  <c r="Y72" i="62"/>
  <c r="X72" i="62"/>
  <c r="W72" i="62"/>
  <c r="V72" i="62"/>
  <c r="U72" i="62"/>
  <c r="T72" i="62"/>
  <c r="S72" i="62"/>
  <c r="R72" i="62"/>
  <c r="Q72" i="62"/>
  <c r="P72" i="62"/>
  <c r="O72" i="62"/>
  <c r="N72" i="62"/>
  <c r="M72" i="62"/>
  <c r="AI71" i="62"/>
  <c r="AH71" i="62"/>
  <c r="AI70" i="62"/>
  <c r="AH70" i="62"/>
  <c r="AI69" i="62"/>
  <c r="AH69" i="62"/>
  <c r="AD68" i="62"/>
  <c r="AC68" i="62"/>
  <c r="AB68" i="62"/>
  <c r="AA68" i="62"/>
  <c r="Z68" i="62"/>
  <c r="Y68" i="62"/>
  <c r="X68" i="62"/>
  <c r="W68" i="62"/>
  <c r="V68" i="62"/>
  <c r="U68" i="62"/>
  <c r="T68" i="62"/>
  <c r="S68" i="62"/>
  <c r="R68" i="62"/>
  <c r="Q68" i="62"/>
  <c r="P68" i="62"/>
  <c r="O68" i="62"/>
  <c r="N68" i="62"/>
  <c r="M68" i="62"/>
  <c r="C68" i="62"/>
  <c r="AI67" i="62"/>
  <c r="AH67" i="62"/>
  <c r="AG67" i="62"/>
  <c r="AG68" i="62" s="1"/>
  <c r="AG3" i="62" s="1"/>
  <c r="AG6" i="62" s="1"/>
  <c r="AI66" i="62"/>
  <c r="AH66" i="62"/>
  <c r="AI65" i="62"/>
  <c r="AH65" i="62"/>
  <c r="AI64" i="62"/>
  <c r="AH64" i="62"/>
  <c r="AI63" i="62"/>
  <c r="AH63" i="62"/>
  <c r="AI62" i="62"/>
  <c r="AH62" i="62"/>
  <c r="AI61" i="62"/>
  <c r="AH61" i="62"/>
  <c r="AI60" i="62"/>
  <c r="AH60" i="62"/>
  <c r="AI59" i="62"/>
  <c r="AH59" i="62"/>
  <c r="AI58" i="62"/>
  <c r="AH58" i="62"/>
  <c r="AI57" i="62"/>
  <c r="AH57" i="62"/>
  <c r="AI56" i="62"/>
  <c r="AH56" i="62"/>
  <c r="AI55" i="62"/>
  <c r="AH55" i="62"/>
  <c r="AG54" i="62"/>
  <c r="AF54" i="62"/>
  <c r="AD54" i="62"/>
  <c r="AC54" i="62"/>
  <c r="AB54" i="62"/>
  <c r="AA54" i="62"/>
  <c r="Z54" i="62"/>
  <c r="Y54" i="62"/>
  <c r="X54" i="62"/>
  <c r="W54" i="62"/>
  <c r="V54" i="62"/>
  <c r="U54" i="62"/>
  <c r="T54" i="62"/>
  <c r="S54" i="62"/>
  <c r="R54" i="62"/>
  <c r="Q54" i="62"/>
  <c r="P54" i="62"/>
  <c r="O54" i="62"/>
  <c r="N54" i="62"/>
  <c r="M54" i="62"/>
  <c r="C54" i="62"/>
  <c r="AI53" i="62"/>
  <c r="AH53" i="62"/>
  <c r="AI52" i="62"/>
  <c r="AH52" i="62"/>
  <c r="AI51" i="62"/>
  <c r="AH51" i="62"/>
  <c r="AG50" i="62"/>
  <c r="AG89" i="62" s="1"/>
  <c r="AD50" i="62"/>
  <c r="AC50" i="62"/>
  <c r="AB50" i="62"/>
  <c r="AA50" i="62"/>
  <c r="Z50" i="62"/>
  <c r="Y50" i="62"/>
  <c r="X50" i="62"/>
  <c r="W50" i="62"/>
  <c r="V50" i="62"/>
  <c r="U50" i="62"/>
  <c r="T50" i="62"/>
  <c r="S50" i="62"/>
  <c r="R50" i="62"/>
  <c r="Q50" i="62"/>
  <c r="P50" i="62"/>
  <c r="O50" i="62"/>
  <c r="N50" i="62"/>
  <c r="M50" i="62"/>
  <c r="C50" i="62"/>
  <c r="AI49" i="62"/>
  <c r="AH49" i="62"/>
  <c r="AI48" i="62"/>
  <c r="AH48" i="62"/>
  <c r="AI47" i="62"/>
  <c r="AH47" i="62"/>
  <c r="AI46" i="62"/>
  <c r="AH46" i="62"/>
  <c r="AI45" i="62"/>
  <c r="AH45" i="62"/>
  <c r="AI44" i="62"/>
  <c r="AH44" i="62"/>
  <c r="AI43" i="62"/>
  <c r="AH43" i="62"/>
  <c r="AI42" i="62"/>
  <c r="AH42" i="62"/>
  <c r="AI41" i="62"/>
  <c r="AH41" i="62"/>
  <c r="AI40" i="62"/>
  <c r="AH40" i="62"/>
  <c r="AI39" i="62"/>
  <c r="AH39" i="62"/>
  <c r="AI38" i="62"/>
  <c r="AH38" i="62"/>
  <c r="AI37" i="62"/>
  <c r="AH37" i="62"/>
  <c r="AI36" i="62"/>
  <c r="AH36" i="62"/>
  <c r="AI35" i="62"/>
  <c r="AH35" i="62"/>
  <c r="AI34" i="62"/>
  <c r="AH34" i="62"/>
  <c r="AI33" i="62"/>
  <c r="AH33" i="62"/>
  <c r="AI32" i="62"/>
  <c r="AH32" i="62"/>
  <c r="AI31" i="62"/>
  <c r="AH31" i="62"/>
  <c r="AI30" i="62"/>
  <c r="AH30" i="62"/>
  <c r="AI29" i="62"/>
  <c r="AH29" i="62"/>
  <c r="AI28" i="62"/>
  <c r="AH28" i="62"/>
  <c r="AI27" i="62"/>
  <c r="AH27" i="62"/>
  <c r="AI26" i="62"/>
  <c r="AH26" i="62"/>
  <c r="AI25" i="62"/>
  <c r="AH25" i="62"/>
  <c r="AI24" i="62"/>
  <c r="AH24" i="62"/>
  <c r="AI23" i="62"/>
  <c r="AH23" i="62"/>
  <c r="AI22" i="62"/>
  <c r="AH22" i="62"/>
  <c r="AI21" i="62"/>
  <c r="AH21" i="62"/>
  <c r="AI20" i="62"/>
  <c r="AH20" i="62"/>
  <c r="AI19" i="62"/>
  <c r="AH19" i="62"/>
  <c r="AI18" i="62"/>
  <c r="AH18" i="62"/>
  <c r="AI17" i="62"/>
  <c r="AH17" i="62"/>
  <c r="AI16" i="62"/>
  <c r="AH16" i="62"/>
  <c r="AI15" i="62"/>
  <c r="AH15" i="62"/>
  <c r="AI14" i="62"/>
  <c r="AH14" i="62"/>
  <c r="AI13" i="62"/>
  <c r="AH13" i="62"/>
  <c r="AI12" i="62"/>
  <c r="AH12" i="62"/>
  <c r="AI11" i="62"/>
  <c r="AH11" i="62"/>
  <c r="AF5" i="62"/>
  <c r="AG4" i="62"/>
  <c r="K4" i="62"/>
  <c r="E4" i="62"/>
  <c r="H4" i="62" s="1"/>
  <c r="B4" i="62"/>
  <c r="S246" i="62" s="1"/>
  <c r="AG2" i="62"/>
  <c r="L229" i="63" l="1"/>
  <c r="K234" i="63"/>
  <c r="I270" i="63"/>
  <c r="AF89" i="62"/>
  <c r="AF91" i="62" s="1"/>
  <c r="AF100" i="62"/>
  <c r="AE89" i="62"/>
  <c r="AE91" i="62" s="1"/>
  <c r="AE100" i="62"/>
  <c r="AD89" i="62"/>
  <c r="AD91" i="62" s="1"/>
  <c r="AD7" i="62" s="1"/>
  <c r="AB5" i="62"/>
  <c r="AC89" i="62"/>
  <c r="AC91" i="62" s="1"/>
  <c r="AC7" i="62" s="1"/>
  <c r="AA5" i="62"/>
  <c r="AB89" i="62"/>
  <c r="AB91" i="62" s="1"/>
  <c r="AB7" i="62" s="1"/>
  <c r="Z5" i="62"/>
  <c r="AA89" i="62"/>
  <c r="AA91" i="62" s="1"/>
  <c r="AA92" i="62" s="1"/>
  <c r="Y5" i="62"/>
  <c r="Z89" i="62"/>
  <c r="Z91" i="62" s="1"/>
  <c r="X5" i="62"/>
  <c r="Y89" i="62"/>
  <c r="Y91" i="62" s="1"/>
  <c r="Y7" i="62" s="1"/>
  <c r="X100" i="62"/>
  <c r="X89" i="62"/>
  <c r="X91" i="62" s="1"/>
  <c r="W89" i="62"/>
  <c r="W91" i="62" s="1"/>
  <c r="W7" i="62" s="1"/>
  <c r="W100" i="62"/>
  <c r="V100" i="62"/>
  <c r="V89" i="62"/>
  <c r="V91" i="62" s="1"/>
  <c r="AN249" i="62" s="1"/>
  <c r="T5" i="62"/>
  <c r="U89" i="62"/>
  <c r="U91" i="62" s="1"/>
  <c r="AM249" i="62" s="1"/>
  <c r="S100" i="62"/>
  <c r="T89" i="62"/>
  <c r="T91" i="62" s="1"/>
  <c r="AL249" i="62" s="1"/>
  <c r="S5" i="62"/>
  <c r="S89" i="62"/>
  <c r="S91" i="62" s="1"/>
  <c r="S92" i="62" s="1"/>
  <c r="Q5" i="62"/>
  <c r="R89" i="62"/>
  <c r="R91" i="62" s="1"/>
  <c r="P5" i="62"/>
  <c r="Q89" i="62"/>
  <c r="Q91" i="62" s="1"/>
  <c r="AI72" i="62"/>
  <c r="P100" i="62"/>
  <c r="AI54" i="62"/>
  <c r="P89" i="62"/>
  <c r="P91" i="62" s="1"/>
  <c r="O100" i="62"/>
  <c r="O89" i="62"/>
  <c r="O91" i="62" s="1"/>
  <c r="N100" i="62"/>
  <c r="N89" i="62"/>
  <c r="N91" i="62" s="1"/>
  <c r="L5" i="62"/>
  <c r="M89" i="62"/>
  <c r="M91" i="62" s="1"/>
  <c r="M92" i="62" s="1"/>
  <c r="AH54" i="62"/>
  <c r="K5" i="62"/>
  <c r="L89" i="62"/>
  <c r="L91" i="62" s="1"/>
  <c r="L92" i="62" s="1"/>
  <c r="K89" i="62"/>
  <c r="K91" i="62" s="1"/>
  <c r="K92" i="62" s="1"/>
  <c r="J5" i="62"/>
  <c r="I5" i="62"/>
  <c r="J89" i="62"/>
  <c r="J91" i="62" s="1"/>
  <c r="J92" i="62" s="1"/>
  <c r="H5" i="62"/>
  <c r="AI68" i="62"/>
  <c r="I89" i="62"/>
  <c r="I91" i="62" s="1"/>
  <c r="I92" i="62" s="1"/>
  <c r="G5" i="62"/>
  <c r="H89" i="62"/>
  <c r="H91" i="62" s="1"/>
  <c r="H92" i="62" s="1"/>
  <c r="F5" i="62"/>
  <c r="G89" i="62"/>
  <c r="G91" i="62" s="1"/>
  <c r="G92" i="62" s="1"/>
  <c r="F89" i="62"/>
  <c r="F91" i="62" s="1"/>
  <c r="F92" i="62" s="1"/>
  <c r="E100" i="62"/>
  <c r="AI99" i="62"/>
  <c r="D5" i="62"/>
  <c r="E89" i="62"/>
  <c r="E91" i="62" s="1"/>
  <c r="E92" i="62" s="1"/>
  <c r="D89" i="62"/>
  <c r="D91" i="62" s="1"/>
  <c r="D92" i="62" s="1"/>
  <c r="C5" i="62"/>
  <c r="AH99" i="62"/>
  <c r="C89" i="62"/>
  <c r="C91" i="62" s="1"/>
  <c r="C92" i="62" s="1"/>
  <c r="B5" i="62"/>
  <c r="AI84" i="62"/>
  <c r="D246" i="62"/>
  <c r="T92" i="62"/>
  <c r="T7" i="62"/>
  <c r="W249" i="62"/>
  <c r="U7" i="62"/>
  <c r="U92" i="62"/>
  <c r="AA7" i="62"/>
  <c r="AS249" i="62"/>
  <c r="N7" i="62"/>
  <c r="AF249" i="62"/>
  <c r="N92" i="62"/>
  <c r="V7" i="62"/>
  <c r="V92" i="62"/>
  <c r="AW249" i="62"/>
  <c r="AE7" i="62"/>
  <c r="AE92" i="62"/>
  <c r="AG249" i="62"/>
  <c r="O92" i="62"/>
  <c r="O7" i="62"/>
  <c r="P7" i="62"/>
  <c r="P92" i="62"/>
  <c r="AH249" i="62"/>
  <c r="X7" i="62"/>
  <c r="X92" i="62"/>
  <c r="AP249" i="62"/>
  <c r="AX249" i="62"/>
  <c r="AF7" i="62"/>
  <c r="AF92" i="62"/>
  <c r="Q92" i="62"/>
  <c r="AI249" i="62"/>
  <c r="Q7" i="62"/>
  <c r="G229" i="62"/>
  <c r="R92" i="62"/>
  <c r="R7" i="62"/>
  <c r="AJ249" i="62"/>
  <c r="Z92" i="62"/>
  <c r="Z7" i="62"/>
  <c r="AR249" i="62"/>
  <c r="AD249" i="62"/>
  <c r="J232" i="62"/>
  <c r="K232" i="62" s="1"/>
  <c r="L232" i="62" s="1"/>
  <c r="M232" i="62" s="1"/>
  <c r="N232" i="62" s="1"/>
  <c r="O232" i="62" s="1"/>
  <c r="P232" i="62" s="1"/>
  <c r="E230" i="62"/>
  <c r="E234" i="62"/>
  <c r="AI50" i="62"/>
  <c r="E5" i="62"/>
  <c r="M5" i="62"/>
  <c r="U5" i="62"/>
  <c r="AC5" i="62"/>
  <c r="AH72" i="62"/>
  <c r="AH84" i="62"/>
  <c r="AH68" i="62"/>
  <c r="B235" i="62"/>
  <c r="AH50" i="62"/>
  <c r="M229" i="63" l="1"/>
  <c r="J270" i="63"/>
  <c r="L234" i="63"/>
  <c r="K110" i="63"/>
  <c r="AD92" i="62"/>
  <c r="AV249" i="62"/>
  <c r="AC92" i="62"/>
  <c r="AU249" i="62"/>
  <c r="AT249" i="62"/>
  <c r="AB92" i="62"/>
  <c r="AQ249" i="62"/>
  <c r="Y92" i="62"/>
  <c r="AO249" i="62"/>
  <c r="W92" i="62"/>
  <c r="AK249" i="62"/>
  <c r="S7" i="62"/>
  <c r="M7" i="62"/>
  <c r="AE249" i="62"/>
  <c r="AC249" i="62"/>
  <c r="K7" i="62"/>
  <c r="Z249" i="62"/>
  <c r="G7" i="62"/>
  <c r="X249" i="62"/>
  <c r="F7" i="62"/>
  <c r="L7" i="62"/>
  <c r="AB249" i="62"/>
  <c r="J7" i="62"/>
  <c r="C244" i="62"/>
  <c r="V249" i="62"/>
  <c r="D7" i="62"/>
  <c r="I7" i="62"/>
  <c r="B244" i="62"/>
  <c r="AA249" i="62"/>
  <c r="H7" i="62"/>
  <c r="Y249" i="62"/>
  <c r="E7" i="62"/>
  <c r="AI89" i="62"/>
  <c r="U249" i="62"/>
  <c r="C7" i="62"/>
  <c r="AH89" i="62"/>
  <c r="E235" i="62"/>
  <c r="F230" i="62"/>
  <c r="H229" i="62"/>
  <c r="AI100" i="62"/>
  <c r="AH100" i="62"/>
  <c r="D270" i="62"/>
  <c r="F234" i="62"/>
  <c r="AI91" i="62"/>
  <c r="AH91" i="62"/>
  <c r="B7" i="62"/>
  <c r="T249" i="62"/>
  <c r="K270" i="63" l="1"/>
  <c r="M234" i="63"/>
  <c r="L110" i="63"/>
  <c r="N229" i="63"/>
  <c r="M110" i="63"/>
  <c r="K6" i="62"/>
  <c r="A7" i="62"/>
  <c r="AI92" i="62"/>
  <c r="AH92" i="62"/>
  <c r="E270" i="62"/>
  <c r="G234" i="62"/>
  <c r="I229" i="62"/>
  <c r="G230" i="62"/>
  <c r="F235" i="62"/>
  <c r="O229" i="63" l="1"/>
  <c r="L270" i="63"/>
  <c r="N234" i="63"/>
  <c r="J229" i="62"/>
  <c r="F270" i="62"/>
  <c r="H234" i="62"/>
  <c r="H230" i="62"/>
  <c r="G235" i="62"/>
  <c r="M270" i="63" l="1"/>
  <c r="O234" i="63"/>
  <c r="N110" i="63"/>
  <c r="P229" i="63"/>
  <c r="O110" i="63"/>
  <c r="I230" i="62"/>
  <c r="H235" i="62"/>
  <c r="G270" i="62"/>
  <c r="I234" i="62"/>
  <c r="K229" i="62"/>
  <c r="AI110" i="63" l="1"/>
  <c r="AH110" i="63"/>
  <c r="N270" i="63"/>
  <c r="P234" i="63"/>
  <c r="O270" i="63" s="1"/>
  <c r="H270" i="62"/>
  <c r="J234" i="62"/>
  <c r="L229" i="62"/>
  <c r="J230" i="62"/>
  <c r="K230" i="62" l="1"/>
  <c r="M229" i="62"/>
  <c r="K234" i="62"/>
  <c r="I270" i="62"/>
  <c r="L234" i="62" l="1"/>
  <c r="J270" i="62"/>
  <c r="N229" i="62"/>
  <c r="L230" i="62"/>
  <c r="M230" i="62" l="1"/>
  <c r="O229" i="62"/>
  <c r="K270" i="62"/>
  <c r="M234" i="62"/>
  <c r="L270" i="62" l="1"/>
  <c r="N234" i="62"/>
  <c r="M110" i="62"/>
  <c r="P229" i="62"/>
  <c r="N230" i="62"/>
  <c r="O230" i="62" l="1"/>
  <c r="M270" i="62"/>
  <c r="O234" i="62"/>
  <c r="N110" i="62"/>
  <c r="N270" i="62" l="1"/>
  <c r="P234" i="62"/>
  <c r="O270" i="62" s="1"/>
  <c r="O110" i="62"/>
  <c r="P230" i="62"/>
  <c r="AH110" i="62" l="1"/>
  <c r="AI110" i="62"/>
  <c r="AC50" i="61" l="1"/>
  <c r="AB50" i="61"/>
  <c r="AB54" i="61"/>
  <c r="AB68" i="61"/>
  <c r="AB72" i="61"/>
  <c r="AB84" i="61"/>
  <c r="AB100" i="61" s="1"/>
  <c r="AB99" i="61"/>
  <c r="AB110" i="61"/>
  <c r="AB89" i="61" l="1"/>
  <c r="AB91" i="61" s="1"/>
  <c r="AB92" i="61" s="1"/>
  <c r="R49" i="61"/>
  <c r="Q113" i="61"/>
  <c r="Q49" i="61"/>
  <c r="P113" i="61"/>
  <c r="P49" i="61"/>
  <c r="O113" i="61"/>
  <c r="O49" i="61"/>
  <c r="N113" i="61"/>
  <c r="N49" i="61"/>
  <c r="J50" i="61" l="1"/>
  <c r="J54" i="61"/>
  <c r="H50" i="61"/>
  <c r="H54" i="61"/>
  <c r="G50" i="61"/>
  <c r="G54" i="61"/>
  <c r="G68" i="61"/>
  <c r="F50" i="61"/>
  <c r="F54" i="61"/>
  <c r="AF274" i="61"/>
  <c r="AE274" i="61"/>
  <c r="AD274" i="61"/>
  <c r="AC274" i="61"/>
  <c r="AB274" i="61"/>
  <c r="AA274" i="61"/>
  <c r="Z274" i="61"/>
  <c r="Y274" i="61"/>
  <c r="X274" i="61"/>
  <c r="W274" i="61"/>
  <c r="V274" i="61"/>
  <c r="U274" i="61"/>
  <c r="T274" i="61"/>
  <c r="S274" i="61"/>
  <c r="R274" i="61"/>
  <c r="Q274" i="61"/>
  <c r="P274" i="61"/>
  <c r="O274" i="61"/>
  <c r="N274" i="61"/>
  <c r="M274" i="61"/>
  <c r="L274" i="61"/>
  <c r="K274" i="61"/>
  <c r="J274" i="61"/>
  <c r="I274" i="61"/>
  <c r="H274" i="61"/>
  <c r="G274" i="61"/>
  <c r="F274" i="61"/>
  <c r="E274" i="61"/>
  <c r="D274" i="61"/>
  <c r="C274" i="61"/>
  <c r="B274" i="61"/>
  <c r="A274" i="61"/>
  <c r="AF273" i="61"/>
  <c r="AE273" i="61"/>
  <c r="AD273" i="61"/>
  <c r="AC273" i="61"/>
  <c r="AB273" i="61"/>
  <c r="AA273" i="61"/>
  <c r="Z273" i="61"/>
  <c r="Y273" i="61"/>
  <c r="X273" i="61"/>
  <c r="W273" i="61"/>
  <c r="V273" i="61"/>
  <c r="U273" i="61"/>
  <c r="T273" i="61"/>
  <c r="S273" i="61"/>
  <c r="R273" i="61"/>
  <c r="Q273" i="61"/>
  <c r="P273" i="61"/>
  <c r="O273" i="61"/>
  <c r="N273" i="61"/>
  <c r="M273" i="61"/>
  <c r="L273" i="61"/>
  <c r="K273" i="61"/>
  <c r="J273" i="61"/>
  <c r="I273" i="61"/>
  <c r="H273" i="61"/>
  <c r="G273" i="61"/>
  <c r="F273" i="61"/>
  <c r="E273" i="61"/>
  <c r="D273" i="61"/>
  <c r="C273" i="61"/>
  <c r="B273" i="61"/>
  <c r="A273" i="61"/>
  <c r="AF272" i="61"/>
  <c r="AE272" i="61"/>
  <c r="AD272" i="61"/>
  <c r="AC272" i="61"/>
  <c r="AB272" i="61"/>
  <c r="AA272" i="61"/>
  <c r="Z272" i="61"/>
  <c r="Y272" i="61"/>
  <c r="X272" i="61"/>
  <c r="W272" i="61"/>
  <c r="V272" i="61"/>
  <c r="U272" i="61"/>
  <c r="T272" i="61"/>
  <c r="S272" i="61"/>
  <c r="R272" i="61"/>
  <c r="Q272" i="61"/>
  <c r="P272" i="61"/>
  <c r="O272" i="61"/>
  <c r="N272" i="61"/>
  <c r="M272" i="61"/>
  <c r="L272" i="61"/>
  <c r="K272" i="61"/>
  <c r="J272" i="61"/>
  <c r="I272" i="61"/>
  <c r="H272" i="61"/>
  <c r="G272" i="61"/>
  <c r="F272" i="61"/>
  <c r="E272" i="61"/>
  <c r="D272" i="61"/>
  <c r="C272" i="61"/>
  <c r="B272" i="61"/>
  <c r="A272" i="61"/>
  <c r="AF271" i="61"/>
  <c r="AE271" i="61"/>
  <c r="AD271" i="61"/>
  <c r="AC271" i="61"/>
  <c r="AB271" i="61"/>
  <c r="AA271" i="61"/>
  <c r="Z271" i="61"/>
  <c r="Y271" i="61"/>
  <c r="X271" i="61"/>
  <c r="W271" i="61"/>
  <c r="V271" i="61"/>
  <c r="U271" i="61"/>
  <c r="T271" i="61"/>
  <c r="S271" i="61"/>
  <c r="R271" i="61"/>
  <c r="Q271" i="61"/>
  <c r="P271" i="61"/>
  <c r="O271" i="61"/>
  <c r="N271" i="61"/>
  <c r="M271" i="61"/>
  <c r="L271" i="61"/>
  <c r="K271" i="61"/>
  <c r="J271" i="61"/>
  <c r="I271" i="61"/>
  <c r="H271" i="61"/>
  <c r="G271" i="61"/>
  <c r="F271" i="61"/>
  <c r="E271" i="61"/>
  <c r="D271" i="61"/>
  <c r="C271" i="61"/>
  <c r="B271" i="61"/>
  <c r="A271" i="61"/>
  <c r="AE270" i="61"/>
  <c r="AD270" i="61"/>
  <c r="AC270" i="61"/>
  <c r="AB270" i="61"/>
  <c r="AA270" i="61"/>
  <c r="Z270" i="61"/>
  <c r="Y270" i="61"/>
  <c r="X270" i="61"/>
  <c r="W270" i="61"/>
  <c r="V270" i="61"/>
  <c r="U270" i="61"/>
  <c r="T270" i="61"/>
  <c r="S270" i="61"/>
  <c r="R270" i="61"/>
  <c r="Q270" i="61"/>
  <c r="P270" i="61"/>
  <c r="B270" i="61"/>
  <c r="S245" i="61"/>
  <c r="AG235" i="61"/>
  <c r="AF235" i="61"/>
  <c r="AE235" i="61"/>
  <c r="AD235" i="61"/>
  <c r="AC235" i="61"/>
  <c r="AB235" i="61"/>
  <c r="AA235" i="61"/>
  <c r="Z235" i="61"/>
  <c r="Y235" i="61"/>
  <c r="X235" i="61"/>
  <c r="W235" i="61"/>
  <c r="V235" i="61"/>
  <c r="U235" i="61"/>
  <c r="T235" i="61"/>
  <c r="S235" i="61"/>
  <c r="R235" i="61"/>
  <c r="Q235" i="61"/>
  <c r="C235" i="61"/>
  <c r="E234" i="61"/>
  <c r="D270" i="61" s="1"/>
  <c r="D234" i="61"/>
  <c r="C270" i="61" s="1"/>
  <c r="B234" i="61"/>
  <c r="AF270" i="61" s="1"/>
  <c r="E233" i="61"/>
  <c r="F233" i="61" s="1"/>
  <c r="G233" i="61" s="1"/>
  <c r="H233" i="61" s="1"/>
  <c r="I233" i="61" s="1"/>
  <c r="J233" i="61" s="1"/>
  <c r="K233" i="61" s="1"/>
  <c r="L233" i="61" s="1"/>
  <c r="M233" i="61" s="1"/>
  <c r="N233" i="61" s="1"/>
  <c r="O233" i="61" s="1"/>
  <c r="P233" i="61" s="1"/>
  <c r="D233" i="61"/>
  <c r="B233" i="61"/>
  <c r="I232" i="61"/>
  <c r="H232" i="61"/>
  <c r="G232" i="61"/>
  <c r="F232" i="61"/>
  <c r="E232" i="61"/>
  <c r="D232" i="61"/>
  <c r="B232" i="61"/>
  <c r="G231" i="61"/>
  <c r="H231" i="61" s="1"/>
  <c r="F231" i="61"/>
  <c r="E231" i="61"/>
  <c r="D231" i="61"/>
  <c r="B231" i="61"/>
  <c r="E230" i="61"/>
  <c r="F230" i="61" s="1"/>
  <c r="G230" i="61" s="1"/>
  <c r="H230" i="61" s="1"/>
  <c r="I230" i="61" s="1"/>
  <c r="J230" i="61" s="1"/>
  <c r="K230" i="61" s="1"/>
  <c r="L230" i="61" s="1"/>
  <c r="M230" i="61" s="1"/>
  <c r="N230" i="61" s="1"/>
  <c r="O230" i="61" s="1"/>
  <c r="P230" i="61" s="1"/>
  <c r="D230" i="61"/>
  <c r="D235" i="61" s="1"/>
  <c r="B230" i="61"/>
  <c r="E229" i="61"/>
  <c r="F229" i="61" s="1"/>
  <c r="D229" i="61"/>
  <c r="B229" i="61"/>
  <c r="B110" i="61" s="1"/>
  <c r="AG227" i="61"/>
  <c r="AF227" i="61"/>
  <c r="AE227" i="61"/>
  <c r="AD227" i="61"/>
  <c r="AC227" i="61"/>
  <c r="AB227" i="61"/>
  <c r="AA227" i="61"/>
  <c r="Z227" i="61"/>
  <c r="Y227" i="61"/>
  <c r="X227" i="61"/>
  <c r="W227" i="61"/>
  <c r="V227" i="61"/>
  <c r="U227" i="61"/>
  <c r="T227" i="61"/>
  <c r="S227" i="61"/>
  <c r="R227" i="61"/>
  <c r="Q227" i="61"/>
  <c r="P227" i="61"/>
  <c r="O227" i="61"/>
  <c r="N227" i="61"/>
  <c r="M227" i="61"/>
  <c r="L227" i="61"/>
  <c r="K227" i="61"/>
  <c r="J227" i="61"/>
  <c r="I227" i="61"/>
  <c r="H227" i="61"/>
  <c r="G227" i="61"/>
  <c r="F227" i="61"/>
  <c r="E227" i="61"/>
  <c r="D227" i="61"/>
  <c r="C227" i="61"/>
  <c r="B227" i="61"/>
  <c r="AI120" i="61"/>
  <c r="AH120" i="61"/>
  <c r="AI119" i="61"/>
  <c r="AH119" i="61"/>
  <c r="AI118" i="61"/>
  <c r="AH118" i="61"/>
  <c r="AI117" i="61"/>
  <c r="AH117" i="61"/>
  <c r="AI116" i="61"/>
  <c r="AH116" i="61"/>
  <c r="AI115" i="61"/>
  <c r="AH115" i="61"/>
  <c r="AI114" i="61"/>
  <c r="AH114" i="61"/>
  <c r="AI113" i="61"/>
  <c r="AH113" i="61"/>
  <c r="AI112" i="61"/>
  <c r="AH112" i="61"/>
  <c r="AI111" i="61"/>
  <c r="AH111" i="61"/>
  <c r="AF110" i="61"/>
  <c r="AE110" i="61"/>
  <c r="AC110" i="61"/>
  <c r="AA110" i="61"/>
  <c r="Z110" i="61"/>
  <c r="Y110" i="61"/>
  <c r="X110" i="61"/>
  <c r="W110" i="61"/>
  <c r="V110" i="61"/>
  <c r="U110" i="61"/>
  <c r="T110" i="61"/>
  <c r="S110" i="61"/>
  <c r="R110" i="61"/>
  <c r="Q110" i="61"/>
  <c r="E110" i="61"/>
  <c r="D110" i="61"/>
  <c r="C110" i="61"/>
  <c r="AI109" i="61"/>
  <c r="AH109" i="61"/>
  <c r="AI108" i="61"/>
  <c r="AH108" i="61"/>
  <c r="AI107" i="61"/>
  <c r="AH107" i="61"/>
  <c r="AI106" i="61"/>
  <c r="AH106" i="61"/>
  <c r="AI105" i="61"/>
  <c r="AH105" i="61"/>
  <c r="AI104" i="61"/>
  <c r="AH104" i="61"/>
  <c r="AI103" i="61"/>
  <c r="AH103" i="61"/>
  <c r="AI102" i="61"/>
  <c r="AH102" i="61"/>
  <c r="AI101" i="61"/>
  <c r="AH101" i="61"/>
  <c r="AF99" i="61"/>
  <c r="AE99" i="61"/>
  <c r="AD99" i="61"/>
  <c r="AC99" i="61"/>
  <c r="AA99" i="61"/>
  <c r="Z99" i="61"/>
  <c r="Y99" i="61"/>
  <c r="X99" i="61"/>
  <c r="W99" i="61"/>
  <c r="V99" i="61"/>
  <c r="U99" i="61"/>
  <c r="T99" i="61"/>
  <c r="S99" i="61"/>
  <c r="R99" i="61"/>
  <c r="Q99" i="61"/>
  <c r="P99" i="61"/>
  <c r="O99" i="61"/>
  <c r="N99" i="61"/>
  <c r="M99" i="61"/>
  <c r="L99" i="61"/>
  <c r="K99" i="61"/>
  <c r="J99" i="61"/>
  <c r="I99" i="61"/>
  <c r="H99" i="61"/>
  <c r="G99" i="61"/>
  <c r="F99" i="61"/>
  <c r="E99" i="61"/>
  <c r="D99" i="61"/>
  <c r="C99" i="61"/>
  <c r="B99" i="61"/>
  <c r="AI98" i="61"/>
  <c r="AH98" i="61"/>
  <c r="AI97" i="61"/>
  <c r="AH97" i="61"/>
  <c r="AI96" i="61"/>
  <c r="AH96" i="61"/>
  <c r="AI95" i="61"/>
  <c r="AH95" i="61"/>
  <c r="AI94" i="61"/>
  <c r="AH94" i="61"/>
  <c r="AI93" i="61"/>
  <c r="AH93" i="61"/>
  <c r="AI90" i="61"/>
  <c r="AH90" i="61"/>
  <c r="AI88" i="61"/>
  <c r="AH88" i="61"/>
  <c r="AG88" i="61"/>
  <c r="AG91" i="61" s="1"/>
  <c r="AI87" i="61"/>
  <c r="AH87" i="61"/>
  <c r="AI86" i="61"/>
  <c r="AH86" i="61"/>
  <c r="AI85" i="61"/>
  <c r="AH85" i="61"/>
  <c r="AG84" i="61"/>
  <c r="AF84" i="61"/>
  <c r="AE84" i="61"/>
  <c r="AD5" i="61" s="1"/>
  <c r="AD84" i="61"/>
  <c r="AD100" i="61" s="1"/>
  <c r="AC84" i="61"/>
  <c r="AC100" i="61" s="1"/>
  <c r="AA84" i="61"/>
  <c r="AA100" i="61" s="1"/>
  <c r="Z84" i="61"/>
  <c r="Z100" i="61" s="1"/>
  <c r="Y84" i="61"/>
  <c r="Y100" i="61" s="1"/>
  <c r="X84" i="61"/>
  <c r="W5" i="61" s="1"/>
  <c r="W84" i="61"/>
  <c r="V5" i="61" s="1"/>
  <c r="V84" i="61"/>
  <c r="V100" i="61" s="1"/>
  <c r="U84" i="61"/>
  <c r="U100" i="61" s="1"/>
  <c r="T84" i="61"/>
  <c r="T100" i="61" s="1"/>
  <c r="S84" i="61"/>
  <c r="S100" i="61" s="1"/>
  <c r="R84" i="61"/>
  <c r="R100" i="61" s="1"/>
  <c r="Q84" i="61"/>
  <c r="P84" i="61"/>
  <c r="O5" i="61" s="1"/>
  <c r="O84" i="61"/>
  <c r="N5" i="61" s="1"/>
  <c r="N84" i="61"/>
  <c r="N100" i="61" s="1"/>
  <c r="M84" i="61"/>
  <c r="M100" i="61" s="1"/>
  <c r="L84" i="61"/>
  <c r="L100" i="61" s="1"/>
  <c r="K84" i="61"/>
  <c r="K100" i="61" s="1"/>
  <c r="J84" i="61"/>
  <c r="J100" i="61" s="1"/>
  <c r="I84" i="61"/>
  <c r="I100" i="61" s="1"/>
  <c r="H84" i="61"/>
  <c r="G5" i="61" s="1"/>
  <c r="G84" i="61"/>
  <c r="F5" i="61" s="1"/>
  <c r="F84" i="61"/>
  <c r="F100" i="61" s="1"/>
  <c r="E84" i="61"/>
  <c r="E100" i="61" s="1"/>
  <c r="D84" i="61"/>
  <c r="D100" i="61" s="1"/>
  <c r="C84" i="61"/>
  <c r="C100" i="61" s="1"/>
  <c r="B84" i="61"/>
  <c r="AI83" i="61"/>
  <c r="AH83" i="61"/>
  <c r="AI82" i="61"/>
  <c r="AH82" i="61"/>
  <c r="AI81" i="61"/>
  <c r="AH81" i="61"/>
  <c r="AI80" i="61"/>
  <c r="AH80" i="61"/>
  <c r="AI79" i="61"/>
  <c r="AH79" i="61"/>
  <c r="AI78" i="61"/>
  <c r="AH78" i="61"/>
  <c r="AI77" i="61"/>
  <c r="AH77" i="61"/>
  <c r="AI76" i="61"/>
  <c r="AH76" i="61"/>
  <c r="AI75" i="61"/>
  <c r="AH75" i="61"/>
  <c r="AI74" i="61"/>
  <c r="AH74" i="61"/>
  <c r="AI73" i="61"/>
  <c r="AH73" i="61"/>
  <c r="AG72" i="61"/>
  <c r="AF72" i="61"/>
  <c r="AE72" i="61"/>
  <c r="AD72" i="61"/>
  <c r="AC72" i="61"/>
  <c r="AA72" i="61"/>
  <c r="Z72" i="61"/>
  <c r="Y72" i="61"/>
  <c r="X72" i="61"/>
  <c r="W72" i="61"/>
  <c r="V72" i="61"/>
  <c r="U72" i="61"/>
  <c r="T72" i="61"/>
  <c r="S72" i="61"/>
  <c r="R72" i="61"/>
  <c r="Q72" i="61"/>
  <c r="P72" i="61"/>
  <c r="O72" i="61"/>
  <c r="N72" i="61"/>
  <c r="M72" i="61"/>
  <c r="L72" i="61"/>
  <c r="B72" i="61"/>
  <c r="AI71" i="61"/>
  <c r="AH71" i="61"/>
  <c r="AI70" i="61"/>
  <c r="AH70" i="61"/>
  <c r="AI69" i="61"/>
  <c r="AH69" i="61"/>
  <c r="AG68" i="61"/>
  <c r="AF68" i="61"/>
  <c r="AE68" i="61"/>
  <c r="AD68" i="61"/>
  <c r="AC68" i="61"/>
  <c r="AA68" i="61"/>
  <c r="Z68" i="61"/>
  <c r="Y68" i="61"/>
  <c r="X68" i="61"/>
  <c r="W68" i="61"/>
  <c r="V68" i="61"/>
  <c r="U68" i="61"/>
  <c r="T68" i="61"/>
  <c r="S68" i="61"/>
  <c r="R68" i="61"/>
  <c r="Q68" i="61"/>
  <c r="P68" i="61"/>
  <c r="O68" i="61"/>
  <c r="N68" i="61"/>
  <c r="M68" i="61"/>
  <c r="L68" i="61"/>
  <c r="K68" i="61"/>
  <c r="J68" i="61"/>
  <c r="I68" i="61"/>
  <c r="H68" i="61"/>
  <c r="F68" i="61"/>
  <c r="E68" i="61"/>
  <c r="D68" i="61"/>
  <c r="C68" i="61"/>
  <c r="B68" i="61"/>
  <c r="AI67" i="61"/>
  <c r="AH67" i="61"/>
  <c r="AG67" i="61"/>
  <c r="AI66" i="61"/>
  <c r="AH66" i="61"/>
  <c r="AI65" i="61"/>
  <c r="AH65" i="61"/>
  <c r="AI64" i="61"/>
  <c r="AH64" i="61"/>
  <c r="AI63" i="61"/>
  <c r="AH63" i="61"/>
  <c r="AI62" i="61"/>
  <c r="AH62" i="61"/>
  <c r="AI61" i="61"/>
  <c r="AH61" i="61"/>
  <c r="AI60" i="61"/>
  <c r="AH60" i="61"/>
  <c r="AI59" i="61"/>
  <c r="AH59" i="61"/>
  <c r="AI58" i="61"/>
  <c r="AH58" i="61"/>
  <c r="AI57" i="61"/>
  <c r="AH57" i="61"/>
  <c r="AI56" i="61"/>
  <c r="AH56" i="61"/>
  <c r="AI55" i="61"/>
  <c r="AH55" i="61"/>
  <c r="AG54" i="61"/>
  <c r="AF54" i="61"/>
  <c r="AE54" i="61"/>
  <c r="AD54" i="61"/>
  <c r="AC54" i="61"/>
  <c r="AA54" i="61"/>
  <c r="Z54" i="61"/>
  <c r="Y54" i="61"/>
  <c r="X54" i="61"/>
  <c r="W54" i="61"/>
  <c r="V54" i="61"/>
  <c r="U54" i="61"/>
  <c r="T54" i="61"/>
  <c r="S54" i="61"/>
  <c r="R54" i="61"/>
  <c r="Q54" i="61"/>
  <c r="P54" i="61"/>
  <c r="O54" i="61"/>
  <c r="N54" i="61"/>
  <c r="M54" i="61"/>
  <c r="L54" i="61"/>
  <c r="K54" i="61"/>
  <c r="I54" i="61"/>
  <c r="E54" i="61"/>
  <c r="D54" i="61"/>
  <c r="C54" i="61"/>
  <c r="B54" i="61"/>
  <c r="AI53" i="61"/>
  <c r="AH53" i="61"/>
  <c r="AI52" i="61"/>
  <c r="AH52" i="61"/>
  <c r="AI51" i="61"/>
  <c r="AH51" i="61"/>
  <c r="AG50" i="61"/>
  <c r="AG89" i="61" s="1"/>
  <c r="AF50" i="61"/>
  <c r="AE50" i="61"/>
  <c r="AD50" i="61"/>
  <c r="AA50" i="61"/>
  <c r="Z50" i="61"/>
  <c r="Y50" i="61"/>
  <c r="X50" i="61"/>
  <c r="W50" i="61"/>
  <c r="V50" i="61"/>
  <c r="U50" i="61"/>
  <c r="T50" i="61"/>
  <c r="S50" i="61"/>
  <c r="R50" i="61"/>
  <c r="Q50" i="61"/>
  <c r="P50" i="61"/>
  <c r="O50" i="61"/>
  <c r="N50" i="61"/>
  <c r="M50" i="61"/>
  <c r="L50" i="61"/>
  <c r="K50" i="61"/>
  <c r="I50" i="61"/>
  <c r="E50" i="61"/>
  <c r="D50" i="61"/>
  <c r="C50" i="61"/>
  <c r="B50" i="61"/>
  <c r="AI49" i="61"/>
  <c r="AH49" i="61"/>
  <c r="AI48" i="61"/>
  <c r="AH48" i="61"/>
  <c r="AI47" i="61"/>
  <c r="AH47" i="61"/>
  <c r="AI46" i="61"/>
  <c r="AH46" i="61"/>
  <c r="AI45" i="61"/>
  <c r="AH45" i="61"/>
  <c r="AI44" i="61"/>
  <c r="AH44" i="61"/>
  <c r="AI43" i="61"/>
  <c r="AH43" i="61"/>
  <c r="AI42" i="61"/>
  <c r="AH42" i="61"/>
  <c r="AI41" i="61"/>
  <c r="AH41" i="61"/>
  <c r="AI40" i="61"/>
  <c r="AH40" i="61"/>
  <c r="AI39" i="61"/>
  <c r="AH39" i="61"/>
  <c r="AI38" i="61"/>
  <c r="AH38" i="61"/>
  <c r="AI37" i="61"/>
  <c r="AH37" i="61"/>
  <c r="AI36" i="61"/>
  <c r="AH36" i="61"/>
  <c r="AI35" i="61"/>
  <c r="AH35" i="61"/>
  <c r="AI34" i="61"/>
  <c r="AH34" i="61"/>
  <c r="AI33" i="61"/>
  <c r="AH33" i="61"/>
  <c r="AI32" i="61"/>
  <c r="AH32" i="61"/>
  <c r="AI31" i="61"/>
  <c r="AH31" i="61"/>
  <c r="AI30" i="61"/>
  <c r="AH30" i="61"/>
  <c r="AI29" i="61"/>
  <c r="AH29" i="61"/>
  <c r="AI28" i="61"/>
  <c r="AH28" i="61"/>
  <c r="AI27" i="61"/>
  <c r="AH27" i="61"/>
  <c r="AI26" i="61"/>
  <c r="AH26" i="61"/>
  <c r="AI25" i="61"/>
  <c r="AH25" i="61"/>
  <c r="AI24" i="61"/>
  <c r="AH24" i="61"/>
  <c r="AI23" i="61"/>
  <c r="AH23" i="61"/>
  <c r="AI22" i="61"/>
  <c r="AH22" i="61"/>
  <c r="AI21" i="61"/>
  <c r="AH21" i="61"/>
  <c r="AI20" i="61"/>
  <c r="AH20" i="61"/>
  <c r="AI19" i="61"/>
  <c r="AH19" i="61"/>
  <c r="AI18" i="61"/>
  <c r="AH18" i="61"/>
  <c r="AI17" i="61"/>
  <c r="AH17" i="61"/>
  <c r="AI16" i="61"/>
  <c r="AH16" i="61"/>
  <c r="AI15" i="61"/>
  <c r="AH15" i="61"/>
  <c r="AI14" i="61"/>
  <c r="AH14" i="61"/>
  <c r="AI13" i="61"/>
  <c r="AH13" i="61"/>
  <c r="AI12" i="61"/>
  <c r="AH12" i="61"/>
  <c r="AI11" i="61"/>
  <c r="AH11" i="61"/>
  <c r="AA5" i="61"/>
  <c r="Q5" i="61"/>
  <c r="AG4" i="61"/>
  <c r="AG6" i="61" s="1"/>
  <c r="K4" i="61"/>
  <c r="E4" i="61"/>
  <c r="H4" i="61" s="1"/>
  <c r="B4" i="61"/>
  <c r="S246" i="61" s="1"/>
  <c r="AG3" i="61"/>
  <c r="AG2" i="61"/>
  <c r="AF49" i="60"/>
  <c r="AE49" i="60"/>
  <c r="AD49" i="60"/>
  <c r="AC49" i="60"/>
  <c r="AF100" i="61" l="1"/>
  <c r="AE5" i="61"/>
  <c r="AF89" i="61"/>
  <c r="AF91" i="61" s="1"/>
  <c r="AD89" i="61"/>
  <c r="AD91" i="61" s="1"/>
  <c r="AE89" i="61"/>
  <c r="AE91" i="61" s="1"/>
  <c r="AC89" i="61"/>
  <c r="AC91" i="61" s="1"/>
  <c r="AB5" i="61"/>
  <c r="Z5" i="61"/>
  <c r="AA89" i="61"/>
  <c r="AA91" i="61" s="1"/>
  <c r="Y5" i="61"/>
  <c r="X5" i="61"/>
  <c r="Y89" i="61"/>
  <c r="Y91" i="61" s="1"/>
  <c r="Y7" i="61" s="1"/>
  <c r="X100" i="61"/>
  <c r="X89" i="61"/>
  <c r="X91" i="61" s="1"/>
  <c r="W89" i="61"/>
  <c r="W91" i="61" s="1"/>
  <c r="V89" i="61"/>
  <c r="V91" i="61" s="1"/>
  <c r="V7" i="61" s="1"/>
  <c r="T5" i="61"/>
  <c r="U89" i="61"/>
  <c r="U91" i="61" s="1"/>
  <c r="U7" i="61" s="1"/>
  <c r="S5" i="61"/>
  <c r="T89" i="61"/>
  <c r="T91" i="61" s="1"/>
  <c r="T92" i="61" s="1"/>
  <c r="R5" i="61"/>
  <c r="AH72" i="61"/>
  <c r="S89" i="61"/>
  <c r="S91" i="61" s="1"/>
  <c r="S92" i="61" s="1"/>
  <c r="R89" i="61"/>
  <c r="R91" i="61" s="1"/>
  <c r="R92" i="61" s="1"/>
  <c r="Q100" i="61"/>
  <c r="P5" i="61"/>
  <c r="AI72" i="61"/>
  <c r="P89" i="61"/>
  <c r="P91" i="61" s="1"/>
  <c r="P92" i="61" s="1"/>
  <c r="P100" i="61"/>
  <c r="O89" i="61"/>
  <c r="O91" i="61" s="1"/>
  <c r="AG249" i="61" s="1"/>
  <c r="N89" i="61"/>
  <c r="N91" i="61" s="1"/>
  <c r="N7" i="61" s="1"/>
  <c r="Q89" i="61"/>
  <c r="Q91" i="61" s="1"/>
  <c r="Q92" i="61" s="1"/>
  <c r="Z89" i="61"/>
  <c r="Z91" i="61" s="1"/>
  <c r="AR249" i="61" s="1"/>
  <c r="L5" i="61"/>
  <c r="M89" i="61"/>
  <c r="M91" i="61" s="1"/>
  <c r="M7" i="61" s="1"/>
  <c r="K5" i="61"/>
  <c r="L89" i="61"/>
  <c r="L91" i="61" s="1"/>
  <c r="J5" i="61"/>
  <c r="K89" i="61"/>
  <c r="K91" i="61" s="1"/>
  <c r="J89" i="61"/>
  <c r="J91" i="61" s="1"/>
  <c r="AB249" i="61" s="1"/>
  <c r="I5" i="61"/>
  <c r="H5" i="61"/>
  <c r="I89" i="61"/>
  <c r="I91" i="61" s="1"/>
  <c r="AA249" i="61" s="1"/>
  <c r="H100" i="61"/>
  <c r="H89" i="61"/>
  <c r="H91" i="61" s="1"/>
  <c r="H92" i="61" s="1"/>
  <c r="AH99" i="61"/>
  <c r="AI99" i="61"/>
  <c r="G89" i="61"/>
  <c r="G91" i="61" s="1"/>
  <c r="F89" i="61"/>
  <c r="F91" i="61" s="1"/>
  <c r="F7" i="61" s="1"/>
  <c r="D5" i="61"/>
  <c r="E89" i="61"/>
  <c r="E91" i="61" s="1"/>
  <c r="E7" i="61" s="1"/>
  <c r="AI68" i="61"/>
  <c r="C5" i="61"/>
  <c r="D89" i="61"/>
  <c r="D91" i="61" s="1"/>
  <c r="V249" i="61" s="1"/>
  <c r="B5" i="61"/>
  <c r="AI84" i="61"/>
  <c r="AI54" i="61"/>
  <c r="C89" i="61"/>
  <c r="C91" i="61" s="1"/>
  <c r="C7" i="61" s="1"/>
  <c r="AF5" i="61"/>
  <c r="B89" i="61"/>
  <c r="B91" i="61" s="1"/>
  <c r="T7" i="61"/>
  <c r="AL249" i="61"/>
  <c r="AB7" i="61"/>
  <c r="AT249" i="61"/>
  <c r="AF7" i="61"/>
  <c r="AF92" i="61"/>
  <c r="AX249" i="61"/>
  <c r="L92" i="61"/>
  <c r="L7" i="61"/>
  <c r="AD249" i="61"/>
  <c r="K92" i="61"/>
  <c r="K7" i="61"/>
  <c r="AC249" i="61"/>
  <c r="AA92" i="61"/>
  <c r="AA7" i="61"/>
  <c r="AS249" i="61"/>
  <c r="Z249" i="61"/>
  <c r="Y92" i="61"/>
  <c r="AQ249" i="61"/>
  <c r="AC7" i="61"/>
  <c r="AU249" i="61"/>
  <c r="AC92" i="61"/>
  <c r="X7" i="61"/>
  <c r="X92" i="61"/>
  <c r="AP249" i="61"/>
  <c r="V92" i="61"/>
  <c r="AD7" i="61"/>
  <c r="AV249" i="61"/>
  <c r="AD92" i="61"/>
  <c r="G229" i="61"/>
  <c r="AO249" i="61"/>
  <c r="W7" i="61"/>
  <c r="W92" i="61"/>
  <c r="AW249" i="61"/>
  <c r="AE92" i="61"/>
  <c r="AE7" i="61"/>
  <c r="AH50" i="61"/>
  <c r="G100" i="61"/>
  <c r="O100" i="61"/>
  <c r="W100" i="61"/>
  <c r="AE100" i="61"/>
  <c r="E235" i="61"/>
  <c r="D246" i="61"/>
  <c r="AH54" i="61"/>
  <c r="J232" i="61"/>
  <c r="K232" i="61" s="1"/>
  <c r="L232" i="61" s="1"/>
  <c r="M232" i="61" s="1"/>
  <c r="N232" i="61" s="1"/>
  <c r="O232" i="61" s="1"/>
  <c r="P232" i="61" s="1"/>
  <c r="F234" i="61"/>
  <c r="F110" i="61" s="1"/>
  <c r="B100" i="61"/>
  <c r="E5" i="61"/>
  <c r="AC5" i="61"/>
  <c r="AH84" i="61"/>
  <c r="AI50" i="61"/>
  <c r="AH68" i="61"/>
  <c r="B235" i="61"/>
  <c r="M5" i="61"/>
  <c r="U5" i="61"/>
  <c r="AB49" i="60"/>
  <c r="AB50" i="60"/>
  <c r="AA110" i="60"/>
  <c r="AA99" i="60"/>
  <c r="AA84" i="60"/>
  <c r="AA100" i="60" s="1"/>
  <c r="AA72" i="60"/>
  <c r="AA68" i="60"/>
  <c r="AA54" i="60"/>
  <c r="AA50" i="60"/>
  <c r="AA49" i="60"/>
  <c r="Z49" i="60"/>
  <c r="Z50" i="60"/>
  <c r="Z54" i="60"/>
  <c r="Z68" i="60"/>
  <c r="Z72" i="60"/>
  <c r="Z84" i="60"/>
  <c r="Z100" i="60" s="1"/>
  <c r="Z99" i="60"/>
  <c r="Z110" i="60"/>
  <c r="Y49" i="60"/>
  <c r="Y50" i="60"/>
  <c r="Y54" i="60"/>
  <c r="Y68" i="60"/>
  <c r="Y72" i="60"/>
  <c r="Y84" i="60"/>
  <c r="Y100" i="60" s="1"/>
  <c r="Y99" i="60"/>
  <c r="Y110" i="60"/>
  <c r="X49" i="60"/>
  <c r="X50" i="60"/>
  <c r="X54" i="60"/>
  <c r="X68" i="60"/>
  <c r="X72" i="60"/>
  <c r="X84" i="60"/>
  <c r="X100" i="60" s="1"/>
  <c r="X99" i="60"/>
  <c r="X110" i="60"/>
  <c r="W49" i="60"/>
  <c r="W50" i="60"/>
  <c r="W54" i="60"/>
  <c r="W68" i="60"/>
  <c r="W72" i="60"/>
  <c r="W84" i="60"/>
  <c r="W100" i="60" s="1"/>
  <c r="W99" i="60"/>
  <c r="W110" i="60"/>
  <c r="V49" i="60"/>
  <c r="V50" i="60"/>
  <c r="V54" i="60"/>
  <c r="V68" i="60"/>
  <c r="V72" i="60"/>
  <c r="V84" i="60"/>
  <c r="V100" i="60" s="1"/>
  <c r="V99" i="60"/>
  <c r="V110" i="60"/>
  <c r="U49" i="60"/>
  <c r="U50" i="60"/>
  <c r="U54" i="60"/>
  <c r="U68" i="60"/>
  <c r="U72" i="60"/>
  <c r="U84" i="60"/>
  <c r="U100" i="60" s="1"/>
  <c r="U99" i="60"/>
  <c r="U110" i="60"/>
  <c r="T49" i="60"/>
  <c r="T50" i="60"/>
  <c r="T54" i="60"/>
  <c r="T68" i="60"/>
  <c r="T72" i="60"/>
  <c r="T84" i="60"/>
  <c r="T99" i="60"/>
  <c r="T110" i="60"/>
  <c r="S49" i="60"/>
  <c r="S50" i="60"/>
  <c r="S54" i="60"/>
  <c r="S68" i="60"/>
  <c r="S72" i="60"/>
  <c r="S84" i="60"/>
  <c r="S100" i="60" s="1"/>
  <c r="S99" i="60"/>
  <c r="S110" i="60"/>
  <c r="Z92" i="61" l="1"/>
  <c r="Z7" i="61"/>
  <c r="AN249" i="61"/>
  <c r="U92" i="61"/>
  <c r="AM249" i="61"/>
  <c r="R7" i="61"/>
  <c r="AK249" i="61"/>
  <c r="S7" i="61"/>
  <c r="N92" i="61"/>
  <c r="AF249" i="61"/>
  <c r="AJ249" i="61"/>
  <c r="AI249" i="61"/>
  <c r="Q7" i="61"/>
  <c r="AH249" i="61"/>
  <c r="P7" i="61"/>
  <c r="AE249" i="61"/>
  <c r="M92" i="61"/>
  <c r="O92" i="61"/>
  <c r="O7" i="61"/>
  <c r="J92" i="61"/>
  <c r="J7" i="61"/>
  <c r="H7" i="61"/>
  <c r="C244" i="61"/>
  <c r="I92" i="61"/>
  <c r="I7" i="61"/>
  <c r="G7" i="61"/>
  <c r="Y249" i="61"/>
  <c r="E92" i="61"/>
  <c r="F92" i="61"/>
  <c r="X249" i="61"/>
  <c r="B244" i="61"/>
  <c r="G92" i="61"/>
  <c r="W249" i="61"/>
  <c r="D7" i="61"/>
  <c r="D92" i="61"/>
  <c r="C92" i="61"/>
  <c r="U249" i="61"/>
  <c r="AI89" i="61"/>
  <c r="AH89" i="61"/>
  <c r="B92" i="61"/>
  <c r="AI91" i="61"/>
  <c r="AH91" i="61"/>
  <c r="B7" i="61"/>
  <c r="T249" i="61"/>
  <c r="F235" i="61"/>
  <c r="H229" i="61"/>
  <c r="AI100" i="61"/>
  <c r="AH100" i="61"/>
  <c r="E270" i="61"/>
  <c r="G234" i="61"/>
  <c r="AA89" i="60"/>
  <c r="AA91" i="60" s="1"/>
  <c r="AA92" i="60" s="1"/>
  <c r="Z89" i="60"/>
  <c r="Z91" i="60" s="1"/>
  <c r="Z92" i="60" s="1"/>
  <c r="Y89" i="60"/>
  <c r="Y91" i="60" s="1"/>
  <c r="Y92" i="60" s="1"/>
  <c r="X89" i="60"/>
  <c r="X91" i="60" s="1"/>
  <c r="X92" i="60" s="1"/>
  <c r="W89" i="60"/>
  <c r="W91" i="60" s="1"/>
  <c r="W92" i="60" s="1"/>
  <c r="V89" i="60"/>
  <c r="V91" i="60" s="1"/>
  <c r="V92" i="60" s="1"/>
  <c r="U89" i="60"/>
  <c r="U91" i="60" s="1"/>
  <c r="U92" i="60" s="1"/>
  <c r="T89" i="60"/>
  <c r="T91" i="60" s="1"/>
  <c r="T92" i="60" s="1"/>
  <c r="T100" i="60"/>
  <c r="S89" i="60"/>
  <c r="S91" i="60" s="1"/>
  <c r="S92" i="60" s="1"/>
  <c r="A7" i="61" l="1"/>
  <c r="K6" i="61"/>
  <c r="F270" i="61"/>
  <c r="H234" i="61"/>
  <c r="G235" i="61"/>
  <c r="G110" i="61"/>
  <c r="AI92" i="61"/>
  <c r="AH92" i="61"/>
  <c r="I229" i="61"/>
  <c r="H110" i="61"/>
  <c r="H235" i="61"/>
  <c r="R113" i="60"/>
  <c r="R49" i="60"/>
  <c r="R50" i="60"/>
  <c r="R54" i="60"/>
  <c r="R68" i="60"/>
  <c r="R72" i="60"/>
  <c r="Q113" i="60"/>
  <c r="Q49" i="60"/>
  <c r="P113" i="60"/>
  <c r="P49" i="60"/>
  <c r="O113" i="60"/>
  <c r="O49" i="60"/>
  <c r="N113" i="60"/>
  <c r="N49" i="60"/>
  <c r="I110" i="61" l="1"/>
  <c r="J229" i="61"/>
  <c r="G270" i="61"/>
  <c r="I234" i="61"/>
  <c r="M113" i="60"/>
  <c r="M49" i="60"/>
  <c r="K229" i="61" l="1"/>
  <c r="H270" i="61"/>
  <c r="J234" i="61"/>
  <c r="I73" i="60"/>
  <c r="K234" i="61" l="1"/>
  <c r="I270" i="61"/>
  <c r="K110" i="61"/>
  <c r="L229" i="61"/>
  <c r="J110" i="61"/>
  <c r="AF274" i="60"/>
  <c r="AE274" i="60"/>
  <c r="AD274" i="60"/>
  <c r="AC274" i="60"/>
  <c r="AB274" i="60"/>
  <c r="AA274" i="60"/>
  <c r="Z274" i="60"/>
  <c r="Y274" i="60"/>
  <c r="X274" i="60"/>
  <c r="W274" i="60"/>
  <c r="V274" i="60"/>
  <c r="U274" i="60"/>
  <c r="T274" i="60"/>
  <c r="S274" i="60"/>
  <c r="R274" i="60"/>
  <c r="Q274" i="60"/>
  <c r="P274" i="60"/>
  <c r="O274" i="60"/>
  <c r="N274" i="60"/>
  <c r="M274" i="60"/>
  <c r="L274" i="60"/>
  <c r="K274" i="60"/>
  <c r="J274" i="60"/>
  <c r="I274" i="60"/>
  <c r="H274" i="60"/>
  <c r="G274" i="60"/>
  <c r="F274" i="60"/>
  <c r="E274" i="60"/>
  <c r="D274" i="60"/>
  <c r="C274" i="60"/>
  <c r="B274" i="60"/>
  <c r="A274" i="60"/>
  <c r="AF273" i="60"/>
  <c r="AE273" i="60"/>
  <c r="AD273" i="60"/>
  <c r="AC273" i="60"/>
  <c r="AB273" i="60"/>
  <c r="AA273" i="60"/>
  <c r="Z273" i="60"/>
  <c r="Y273" i="60"/>
  <c r="X273" i="60"/>
  <c r="W273" i="60"/>
  <c r="V273" i="60"/>
  <c r="U273" i="60"/>
  <c r="T273" i="60"/>
  <c r="S273" i="60"/>
  <c r="R273" i="60"/>
  <c r="Q273" i="60"/>
  <c r="P273" i="60"/>
  <c r="O273" i="60"/>
  <c r="N273" i="60"/>
  <c r="M273" i="60"/>
  <c r="L273" i="60"/>
  <c r="K273" i="60"/>
  <c r="J273" i="60"/>
  <c r="I273" i="60"/>
  <c r="H273" i="60"/>
  <c r="G273" i="60"/>
  <c r="F273" i="60"/>
  <c r="E273" i="60"/>
  <c r="D273" i="60"/>
  <c r="C273" i="60"/>
  <c r="B273" i="60"/>
  <c r="A273" i="60"/>
  <c r="AF272" i="60"/>
  <c r="AE272" i="60"/>
  <c r="AD272" i="60"/>
  <c r="AC272" i="60"/>
  <c r="AB272" i="60"/>
  <c r="AA272" i="60"/>
  <c r="Z272" i="60"/>
  <c r="Y272" i="60"/>
  <c r="X272" i="60"/>
  <c r="W272" i="60"/>
  <c r="V272" i="60"/>
  <c r="U272" i="60"/>
  <c r="T272" i="60"/>
  <c r="S272" i="60"/>
  <c r="R272" i="60"/>
  <c r="Q272" i="60"/>
  <c r="P272" i="60"/>
  <c r="O272" i="60"/>
  <c r="N272" i="60"/>
  <c r="M272" i="60"/>
  <c r="L272" i="60"/>
  <c r="K272" i="60"/>
  <c r="J272" i="60"/>
  <c r="I272" i="60"/>
  <c r="H272" i="60"/>
  <c r="G272" i="60"/>
  <c r="F272" i="60"/>
  <c r="E272" i="60"/>
  <c r="D272" i="60"/>
  <c r="C272" i="60"/>
  <c r="B272" i="60"/>
  <c r="A272" i="60"/>
  <c r="AF271" i="60"/>
  <c r="AE271" i="60"/>
  <c r="AD271" i="60"/>
  <c r="AC271" i="60"/>
  <c r="AB271" i="60"/>
  <c r="AA271" i="60"/>
  <c r="Z271" i="60"/>
  <c r="Y271" i="60"/>
  <c r="X271" i="60"/>
  <c r="W271" i="60"/>
  <c r="V271" i="60"/>
  <c r="U271" i="60"/>
  <c r="T271" i="60"/>
  <c r="S271" i="60"/>
  <c r="R271" i="60"/>
  <c r="Q271" i="60"/>
  <c r="P271" i="60"/>
  <c r="O271" i="60"/>
  <c r="N271" i="60"/>
  <c r="M271" i="60"/>
  <c r="L271" i="60"/>
  <c r="K271" i="60"/>
  <c r="J271" i="60"/>
  <c r="I271" i="60"/>
  <c r="H271" i="60"/>
  <c r="G271" i="60"/>
  <c r="F271" i="60"/>
  <c r="E271" i="60"/>
  <c r="D271" i="60"/>
  <c r="C271" i="60"/>
  <c r="B271" i="60"/>
  <c r="A271" i="60"/>
  <c r="AE270" i="60"/>
  <c r="AD270" i="60"/>
  <c r="AC270" i="60"/>
  <c r="AB270" i="60"/>
  <c r="AA270" i="60"/>
  <c r="Z270" i="60"/>
  <c r="Y270" i="60"/>
  <c r="X270" i="60"/>
  <c r="W270" i="60"/>
  <c r="V270" i="60"/>
  <c r="U270" i="60"/>
  <c r="T270" i="60"/>
  <c r="S270" i="60"/>
  <c r="R270" i="60"/>
  <c r="Q270" i="60"/>
  <c r="P270" i="60"/>
  <c r="C270" i="60"/>
  <c r="B270" i="60"/>
  <c r="S245" i="60"/>
  <c r="AG235" i="60"/>
  <c r="AF235" i="60"/>
  <c r="AE235" i="60"/>
  <c r="AD235" i="60"/>
  <c r="AC235" i="60"/>
  <c r="AB235" i="60"/>
  <c r="AA235" i="60"/>
  <c r="Z235" i="60"/>
  <c r="Y235" i="60"/>
  <c r="X235" i="60"/>
  <c r="W235" i="60"/>
  <c r="V235" i="60"/>
  <c r="U235" i="60"/>
  <c r="T235" i="60"/>
  <c r="S235" i="60"/>
  <c r="R235" i="60"/>
  <c r="Q235" i="60"/>
  <c r="C235" i="60"/>
  <c r="E234" i="60"/>
  <c r="F234" i="60" s="1"/>
  <c r="D234" i="60"/>
  <c r="B234" i="60"/>
  <c r="AF270" i="60" s="1"/>
  <c r="D233" i="60"/>
  <c r="E233" i="60" s="1"/>
  <c r="F233" i="60" s="1"/>
  <c r="G233" i="60" s="1"/>
  <c r="H233" i="60" s="1"/>
  <c r="I233" i="60" s="1"/>
  <c r="J233" i="60" s="1"/>
  <c r="K233" i="60" s="1"/>
  <c r="L233" i="60" s="1"/>
  <c r="M233" i="60" s="1"/>
  <c r="N233" i="60" s="1"/>
  <c r="O233" i="60" s="1"/>
  <c r="P233" i="60" s="1"/>
  <c r="B233" i="60"/>
  <c r="E232" i="60"/>
  <c r="F232" i="60" s="1"/>
  <c r="G232" i="60" s="1"/>
  <c r="H232" i="60" s="1"/>
  <c r="I232" i="60" s="1"/>
  <c r="D232" i="60"/>
  <c r="B232" i="60"/>
  <c r="E231" i="60"/>
  <c r="F231" i="60" s="1"/>
  <c r="G231" i="60" s="1"/>
  <c r="H231" i="60" s="1"/>
  <c r="D231" i="60"/>
  <c r="B231" i="60"/>
  <c r="E230" i="60"/>
  <c r="F230" i="60" s="1"/>
  <c r="G230" i="60" s="1"/>
  <c r="H230" i="60" s="1"/>
  <c r="I230" i="60" s="1"/>
  <c r="J230" i="60" s="1"/>
  <c r="K230" i="60" s="1"/>
  <c r="L230" i="60" s="1"/>
  <c r="M230" i="60" s="1"/>
  <c r="N230" i="60" s="1"/>
  <c r="O230" i="60" s="1"/>
  <c r="P230" i="60" s="1"/>
  <c r="D230" i="60"/>
  <c r="B230" i="60"/>
  <c r="D229" i="60"/>
  <c r="D235" i="60" s="1"/>
  <c r="B229" i="60"/>
  <c r="B110" i="60" s="1"/>
  <c r="AG227" i="60"/>
  <c r="AF227" i="60"/>
  <c r="AE227" i="60"/>
  <c r="AD227" i="60"/>
  <c r="AC227" i="60"/>
  <c r="AB227" i="60"/>
  <c r="AA227" i="60"/>
  <c r="Z227" i="60"/>
  <c r="Y227" i="60"/>
  <c r="X227" i="60"/>
  <c r="W227" i="60"/>
  <c r="V227" i="60"/>
  <c r="U227" i="60"/>
  <c r="T227" i="60"/>
  <c r="S227" i="60"/>
  <c r="R227" i="60"/>
  <c r="Q227" i="60"/>
  <c r="P227" i="60"/>
  <c r="O227" i="60"/>
  <c r="N227" i="60"/>
  <c r="M227" i="60"/>
  <c r="L227" i="60"/>
  <c r="K227" i="60"/>
  <c r="J227" i="60"/>
  <c r="I227" i="60"/>
  <c r="H227" i="60"/>
  <c r="G227" i="60"/>
  <c r="F227" i="60"/>
  <c r="E227" i="60"/>
  <c r="D227" i="60"/>
  <c r="C227" i="60"/>
  <c r="B227" i="60"/>
  <c r="AI120" i="60"/>
  <c r="AH120" i="60"/>
  <c r="AI119" i="60"/>
  <c r="AH119" i="60"/>
  <c r="AI118" i="60"/>
  <c r="AH118" i="60"/>
  <c r="AI117" i="60"/>
  <c r="AH117" i="60"/>
  <c r="AI116" i="60"/>
  <c r="AH116" i="60"/>
  <c r="AI115" i="60"/>
  <c r="AH115" i="60"/>
  <c r="AI114" i="60"/>
  <c r="AH114" i="60"/>
  <c r="AI113" i="60"/>
  <c r="AH113" i="60"/>
  <c r="AI112" i="60"/>
  <c r="AH112" i="60"/>
  <c r="AI111" i="60"/>
  <c r="AH111" i="60"/>
  <c r="AF110" i="60"/>
  <c r="AE110" i="60"/>
  <c r="AC110" i="60"/>
  <c r="AB110" i="60"/>
  <c r="R110" i="60"/>
  <c r="Q110" i="60"/>
  <c r="C110" i="60"/>
  <c r="AI109" i="60"/>
  <c r="AH109" i="60"/>
  <c r="AI108" i="60"/>
  <c r="AH108" i="60"/>
  <c r="AI107" i="60"/>
  <c r="AH107" i="60"/>
  <c r="AI106" i="60"/>
  <c r="AH106" i="60"/>
  <c r="AI105" i="60"/>
  <c r="AH105" i="60"/>
  <c r="AI104" i="60"/>
  <c r="AH104" i="60"/>
  <c r="AI103" i="60"/>
  <c r="AH103" i="60"/>
  <c r="AI102" i="60"/>
  <c r="AH102" i="60"/>
  <c r="AI101" i="60"/>
  <c r="AH101" i="60"/>
  <c r="AF99" i="60"/>
  <c r="AE99" i="60"/>
  <c r="AD99" i="60"/>
  <c r="AC99" i="60"/>
  <c r="AB99" i="60"/>
  <c r="R99" i="60"/>
  <c r="Q99" i="60"/>
  <c r="P99" i="60"/>
  <c r="O99" i="60"/>
  <c r="N99" i="60"/>
  <c r="M99" i="60"/>
  <c r="L99" i="60"/>
  <c r="K99" i="60"/>
  <c r="J99" i="60"/>
  <c r="I99" i="60"/>
  <c r="H99" i="60"/>
  <c r="G99" i="60"/>
  <c r="F99" i="60"/>
  <c r="E99" i="60"/>
  <c r="D99" i="60"/>
  <c r="C99" i="60"/>
  <c r="B99" i="60"/>
  <c r="AI98" i="60"/>
  <c r="AH98" i="60"/>
  <c r="AI97" i="60"/>
  <c r="AH97" i="60"/>
  <c r="AI96" i="60"/>
  <c r="AH96" i="60"/>
  <c r="AI95" i="60"/>
  <c r="AH95" i="60"/>
  <c r="AI94" i="60"/>
  <c r="AH94" i="60"/>
  <c r="AI93" i="60"/>
  <c r="AH93" i="60"/>
  <c r="AI90" i="60"/>
  <c r="AH90" i="60"/>
  <c r="AI88" i="60"/>
  <c r="AH88" i="60"/>
  <c r="AG88" i="60"/>
  <c r="AI87" i="60"/>
  <c r="AH87" i="60"/>
  <c r="AI86" i="60"/>
  <c r="AH86" i="60"/>
  <c r="AI85" i="60"/>
  <c r="AH85" i="60"/>
  <c r="AG84" i="60"/>
  <c r="AF84" i="60"/>
  <c r="AE5" i="60" s="1"/>
  <c r="AE84" i="60"/>
  <c r="AD5" i="60" s="1"/>
  <c r="AD84" i="60"/>
  <c r="AC84" i="60"/>
  <c r="AC100" i="60" s="1"/>
  <c r="AB84" i="60"/>
  <c r="AB100" i="60" s="1"/>
  <c r="W5" i="60"/>
  <c r="V5" i="60"/>
  <c r="R84" i="60"/>
  <c r="Q84" i="60"/>
  <c r="P84" i="60"/>
  <c r="O5" i="60" s="1"/>
  <c r="O84" i="60"/>
  <c r="N5" i="60" s="1"/>
  <c r="N84" i="60"/>
  <c r="M84" i="60"/>
  <c r="M100" i="60" s="1"/>
  <c r="L84" i="60"/>
  <c r="L100" i="60" s="1"/>
  <c r="K84" i="60"/>
  <c r="J84" i="60"/>
  <c r="I84" i="60"/>
  <c r="H5" i="60" s="1"/>
  <c r="H84" i="60"/>
  <c r="G5" i="60" s="1"/>
  <c r="G84" i="60"/>
  <c r="F5" i="60" s="1"/>
  <c r="F84" i="60"/>
  <c r="F100" i="60" s="1"/>
  <c r="E84" i="60"/>
  <c r="E100" i="60" s="1"/>
  <c r="D84" i="60"/>
  <c r="D100" i="60" s="1"/>
  <c r="C84" i="60"/>
  <c r="C100" i="60" s="1"/>
  <c r="B84" i="60"/>
  <c r="AI83" i="60"/>
  <c r="AH83" i="60"/>
  <c r="AI82" i="60"/>
  <c r="AH82" i="60"/>
  <c r="AI81" i="60"/>
  <c r="AH81" i="60"/>
  <c r="AI80" i="60"/>
  <c r="AH80" i="60"/>
  <c r="AI79" i="60"/>
  <c r="AH79" i="60"/>
  <c r="AI78" i="60"/>
  <c r="AH78" i="60"/>
  <c r="AI77" i="60"/>
  <c r="AH77" i="60"/>
  <c r="AI76" i="60"/>
  <c r="AH76" i="60"/>
  <c r="AI75" i="60"/>
  <c r="AH75" i="60"/>
  <c r="AI74" i="60"/>
  <c r="AH74" i="60"/>
  <c r="AI73" i="60"/>
  <c r="AH73" i="60"/>
  <c r="AG72" i="60"/>
  <c r="AF72" i="60"/>
  <c r="AE72" i="60"/>
  <c r="AD72" i="60"/>
  <c r="AC72" i="60"/>
  <c r="AB72" i="60"/>
  <c r="Q72" i="60"/>
  <c r="P72" i="60"/>
  <c r="O72" i="60"/>
  <c r="N72" i="60"/>
  <c r="M72" i="60"/>
  <c r="L72" i="60"/>
  <c r="B72" i="60"/>
  <c r="AI71" i="60"/>
  <c r="AH71" i="60"/>
  <c r="AI70" i="60"/>
  <c r="AH70" i="60"/>
  <c r="AI69" i="60"/>
  <c r="AH69" i="60"/>
  <c r="AF68" i="60"/>
  <c r="AE68" i="60"/>
  <c r="AD68" i="60"/>
  <c r="AC68" i="60"/>
  <c r="AB68" i="60"/>
  <c r="Q68" i="60"/>
  <c r="P68" i="60"/>
  <c r="O68" i="60"/>
  <c r="N68" i="60"/>
  <c r="M68" i="60"/>
  <c r="L68" i="60"/>
  <c r="K68" i="60"/>
  <c r="J68" i="60"/>
  <c r="I68" i="60"/>
  <c r="H68" i="60"/>
  <c r="G68" i="60"/>
  <c r="F68" i="60"/>
  <c r="E68" i="60"/>
  <c r="D68" i="60"/>
  <c r="C68" i="60"/>
  <c r="B68" i="60"/>
  <c r="AI67" i="60"/>
  <c r="AH67" i="60"/>
  <c r="AG67" i="60"/>
  <c r="AG68" i="60" s="1"/>
  <c r="AI66" i="60"/>
  <c r="AH66" i="60"/>
  <c r="AI65" i="60"/>
  <c r="AH65" i="60"/>
  <c r="AI64" i="60"/>
  <c r="AH64" i="60"/>
  <c r="AI63" i="60"/>
  <c r="AH63" i="60"/>
  <c r="AI62" i="60"/>
  <c r="AH62" i="60"/>
  <c r="AI61" i="60"/>
  <c r="AH61" i="60"/>
  <c r="AI60" i="60"/>
  <c r="AH60" i="60"/>
  <c r="AI59" i="60"/>
  <c r="AH59" i="60"/>
  <c r="AI58" i="60"/>
  <c r="AH58" i="60"/>
  <c r="AI57" i="60"/>
  <c r="AH57" i="60"/>
  <c r="AI56" i="60"/>
  <c r="AH56" i="60"/>
  <c r="AI55" i="60"/>
  <c r="AH55" i="60"/>
  <c r="AG54" i="60"/>
  <c r="AF54" i="60"/>
  <c r="AE54" i="60"/>
  <c r="AD54" i="60"/>
  <c r="AC54" i="60"/>
  <c r="AB54" i="60"/>
  <c r="Q54" i="60"/>
  <c r="P54" i="60"/>
  <c r="O54" i="60"/>
  <c r="N54" i="60"/>
  <c r="M54" i="60"/>
  <c r="L54" i="60"/>
  <c r="K54" i="60"/>
  <c r="J54" i="60"/>
  <c r="I54" i="60"/>
  <c r="H54" i="60"/>
  <c r="G54" i="60"/>
  <c r="F54" i="60"/>
  <c r="E54" i="60"/>
  <c r="D54" i="60"/>
  <c r="C54" i="60"/>
  <c r="B54" i="60"/>
  <c r="AI53" i="60"/>
  <c r="AH53" i="60"/>
  <c r="AI52" i="60"/>
  <c r="AH52" i="60"/>
  <c r="AI51" i="60"/>
  <c r="AH51" i="60"/>
  <c r="AG50" i="60"/>
  <c r="AG89" i="60" s="1"/>
  <c r="AF50" i="60"/>
  <c r="AE50" i="60"/>
  <c r="AD50" i="60"/>
  <c r="AC50" i="60"/>
  <c r="R89" i="60"/>
  <c r="R91" i="60" s="1"/>
  <c r="Q50" i="60"/>
  <c r="P50" i="60"/>
  <c r="O50" i="60"/>
  <c r="N50" i="60"/>
  <c r="M50" i="60"/>
  <c r="L50" i="60"/>
  <c r="K50" i="60"/>
  <c r="J50" i="60"/>
  <c r="I50" i="60"/>
  <c r="H50" i="60"/>
  <c r="G50" i="60"/>
  <c r="F50" i="60"/>
  <c r="E50" i="60"/>
  <c r="D50" i="60"/>
  <c r="C50" i="60"/>
  <c r="B50" i="60"/>
  <c r="AI49" i="60"/>
  <c r="AH49" i="60"/>
  <c r="AI48" i="60"/>
  <c r="AH48" i="60"/>
  <c r="AI47" i="60"/>
  <c r="AH47" i="60"/>
  <c r="AI46" i="60"/>
  <c r="AH46" i="60"/>
  <c r="AI45" i="60"/>
  <c r="AH45" i="60"/>
  <c r="AI44" i="60"/>
  <c r="AH44" i="60"/>
  <c r="AI43" i="60"/>
  <c r="AH43" i="60"/>
  <c r="AI42" i="60"/>
  <c r="AH42" i="60"/>
  <c r="AI41" i="60"/>
  <c r="AH41" i="60"/>
  <c r="AI40" i="60"/>
  <c r="AH40" i="60"/>
  <c r="AI39" i="60"/>
  <c r="AH39" i="60"/>
  <c r="AI38" i="60"/>
  <c r="AH38" i="60"/>
  <c r="AI37" i="60"/>
  <c r="AH37" i="60"/>
  <c r="AI36" i="60"/>
  <c r="AH36" i="60"/>
  <c r="AI35" i="60"/>
  <c r="AH35" i="60"/>
  <c r="AI34" i="60"/>
  <c r="AH34" i="60"/>
  <c r="AI33" i="60"/>
  <c r="AH33" i="60"/>
  <c r="AI32" i="60"/>
  <c r="AH32" i="60"/>
  <c r="AI31" i="60"/>
  <c r="AH31" i="60"/>
  <c r="AI30" i="60"/>
  <c r="AH30" i="60"/>
  <c r="AI29" i="60"/>
  <c r="AH29" i="60"/>
  <c r="AI28" i="60"/>
  <c r="AH28" i="60"/>
  <c r="AI27" i="60"/>
  <c r="AH27" i="60"/>
  <c r="AI26" i="60"/>
  <c r="AH26" i="60"/>
  <c r="AI25" i="60"/>
  <c r="AH25" i="60"/>
  <c r="AI24" i="60"/>
  <c r="AH24" i="60"/>
  <c r="AI23" i="60"/>
  <c r="AH23" i="60"/>
  <c r="AI22" i="60"/>
  <c r="AH22" i="60"/>
  <c r="AI21" i="60"/>
  <c r="AH21" i="60"/>
  <c r="AI20" i="60"/>
  <c r="AH20" i="60"/>
  <c r="AI19" i="60"/>
  <c r="AH19" i="60"/>
  <c r="AI18" i="60"/>
  <c r="AH18" i="60"/>
  <c r="AI17" i="60"/>
  <c r="AH17" i="60"/>
  <c r="AI16" i="60"/>
  <c r="AH16" i="60"/>
  <c r="AI15" i="60"/>
  <c r="AH15" i="60"/>
  <c r="AI14" i="60"/>
  <c r="AH14" i="60"/>
  <c r="AI13" i="60"/>
  <c r="AH13" i="60"/>
  <c r="AI12" i="60"/>
  <c r="AH12" i="60"/>
  <c r="AI11" i="60"/>
  <c r="AH11" i="60"/>
  <c r="Z5" i="60"/>
  <c r="Y5" i="60"/>
  <c r="X5" i="60"/>
  <c r="U5" i="60"/>
  <c r="T5" i="60"/>
  <c r="S5" i="60"/>
  <c r="R5" i="60"/>
  <c r="Q5" i="60"/>
  <c r="P5" i="60"/>
  <c r="J5" i="60"/>
  <c r="AG4" i="60"/>
  <c r="K4" i="60"/>
  <c r="E4" i="60"/>
  <c r="H4" i="60" s="1"/>
  <c r="B4" i="60"/>
  <c r="D246" i="60" s="1"/>
  <c r="AG2" i="60"/>
  <c r="AA110" i="59"/>
  <c r="AA99" i="59"/>
  <c r="AA84" i="59"/>
  <c r="AA100" i="59" s="1"/>
  <c r="AA72" i="59"/>
  <c r="AA68" i="59"/>
  <c r="AA54" i="59"/>
  <c r="AA50" i="59"/>
  <c r="AA89" i="59" s="1"/>
  <c r="AA91" i="59" s="1"/>
  <c r="AA92" i="59" s="1"/>
  <c r="M229" i="61" l="1"/>
  <c r="J270" i="61"/>
  <c r="L234" i="61"/>
  <c r="AF100" i="60"/>
  <c r="AF89" i="60"/>
  <c r="AF91" i="60" s="1"/>
  <c r="AE89" i="60"/>
  <c r="AE91" i="60" s="1"/>
  <c r="AW249" i="60" s="1"/>
  <c r="AD100" i="60"/>
  <c r="AC5" i="60"/>
  <c r="AD89" i="60"/>
  <c r="AD91" i="60" s="1"/>
  <c r="AV249" i="60" s="1"/>
  <c r="AB5" i="60"/>
  <c r="AC89" i="60"/>
  <c r="AC91" i="60" s="1"/>
  <c r="AC7" i="60" s="1"/>
  <c r="AB89" i="60"/>
  <c r="AB91" i="60" s="1"/>
  <c r="AA5" i="60"/>
  <c r="AI72" i="60"/>
  <c r="R100" i="60"/>
  <c r="Q100" i="60"/>
  <c r="Q89" i="60"/>
  <c r="Q91" i="60" s="1"/>
  <c r="P100" i="60"/>
  <c r="P89" i="60"/>
  <c r="P91" i="60" s="1"/>
  <c r="O89" i="60"/>
  <c r="O91" i="60" s="1"/>
  <c r="N100" i="60"/>
  <c r="M5" i="60"/>
  <c r="N89" i="60"/>
  <c r="N91" i="60" s="1"/>
  <c r="L5" i="60"/>
  <c r="M89" i="60"/>
  <c r="M91" i="60" s="1"/>
  <c r="K5" i="60"/>
  <c r="L89" i="60"/>
  <c r="L91" i="60" s="1"/>
  <c r="L7" i="60" s="1"/>
  <c r="K100" i="60"/>
  <c r="K89" i="60"/>
  <c r="K91" i="60" s="1"/>
  <c r="K92" i="60" s="1"/>
  <c r="J100" i="60"/>
  <c r="I5" i="60"/>
  <c r="J89" i="60"/>
  <c r="J91" i="60" s="1"/>
  <c r="AB249" i="60" s="1"/>
  <c r="I100" i="60"/>
  <c r="I89" i="60"/>
  <c r="I91" i="60" s="1"/>
  <c r="AA249" i="60" s="1"/>
  <c r="AH99" i="60"/>
  <c r="H100" i="60"/>
  <c r="H89" i="60"/>
  <c r="H91" i="60" s="1"/>
  <c r="H92" i="60" s="1"/>
  <c r="G89" i="60"/>
  <c r="G91" i="60" s="1"/>
  <c r="Y249" i="60" s="1"/>
  <c r="E5" i="60"/>
  <c r="F89" i="60"/>
  <c r="F91" i="60" s="1"/>
  <c r="AI99" i="60"/>
  <c r="D5" i="60"/>
  <c r="E89" i="60"/>
  <c r="E91" i="60" s="1"/>
  <c r="W249" i="60" s="1"/>
  <c r="C5" i="60"/>
  <c r="AH68" i="60"/>
  <c r="D89" i="60"/>
  <c r="D91" i="60" s="1"/>
  <c r="D7" i="60" s="1"/>
  <c r="AH54" i="60"/>
  <c r="C89" i="60"/>
  <c r="C91" i="60" s="1"/>
  <c r="U249" i="60" s="1"/>
  <c r="AI84" i="60"/>
  <c r="B5" i="60"/>
  <c r="AF5" i="60"/>
  <c r="AI54" i="60"/>
  <c r="AI68" i="60"/>
  <c r="B89" i="60"/>
  <c r="AI50" i="60"/>
  <c r="S246" i="60"/>
  <c r="V7" i="60"/>
  <c r="AN249" i="60"/>
  <c r="AB92" i="60"/>
  <c r="AB7" i="60"/>
  <c r="AT249" i="60"/>
  <c r="N7" i="60"/>
  <c r="N92" i="60"/>
  <c r="AF249" i="60"/>
  <c r="AE7" i="60"/>
  <c r="X7" i="60"/>
  <c r="AP249" i="60"/>
  <c r="Q7" i="60"/>
  <c r="Q92" i="60"/>
  <c r="AI249" i="60"/>
  <c r="AQ249" i="60"/>
  <c r="Y7" i="60"/>
  <c r="E92" i="60"/>
  <c r="G92" i="60"/>
  <c r="R92" i="60"/>
  <c r="R7" i="60"/>
  <c r="AJ249" i="60"/>
  <c r="Z7" i="60"/>
  <c r="AR249" i="60"/>
  <c r="AG3" i="60"/>
  <c r="AG6" i="60" s="1"/>
  <c r="AG91" i="60"/>
  <c r="J232" i="60"/>
  <c r="K232" i="60" s="1"/>
  <c r="L232" i="60" s="1"/>
  <c r="M232" i="60" s="1"/>
  <c r="N232" i="60" s="1"/>
  <c r="O232" i="60" s="1"/>
  <c r="P232" i="60" s="1"/>
  <c r="AG249" i="60"/>
  <c r="O92" i="60"/>
  <c r="O7" i="60"/>
  <c r="AF92" i="60"/>
  <c r="AF7" i="60"/>
  <c r="AX249" i="60"/>
  <c r="C92" i="60"/>
  <c r="C7" i="60"/>
  <c r="S7" i="60"/>
  <c r="AK249" i="60"/>
  <c r="AA7" i="60"/>
  <c r="AS249" i="60"/>
  <c r="M7" i="60"/>
  <c r="AE249" i="60"/>
  <c r="M92" i="60"/>
  <c r="H7" i="60"/>
  <c r="F7" i="60"/>
  <c r="X249" i="60"/>
  <c r="F92" i="60"/>
  <c r="AO249" i="60"/>
  <c r="W7" i="60"/>
  <c r="E270" i="60"/>
  <c r="G234" i="60"/>
  <c r="P92" i="60"/>
  <c r="P7" i="60"/>
  <c r="AH249" i="60"/>
  <c r="T7" i="60"/>
  <c r="AL249" i="60"/>
  <c r="U7" i="60"/>
  <c r="AM249" i="60"/>
  <c r="AH50" i="60"/>
  <c r="G100" i="60"/>
  <c r="O100" i="60"/>
  <c r="AE100" i="60"/>
  <c r="D110" i="60"/>
  <c r="B100" i="60"/>
  <c r="E229" i="60"/>
  <c r="D270" i="60"/>
  <c r="AH72" i="60"/>
  <c r="AH84" i="60"/>
  <c r="B235" i="60"/>
  <c r="Z50" i="59"/>
  <c r="Z54" i="59"/>
  <c r="Z68" i="59"/>
  <c r="Z72" i="59"/>
  <c r="Z84" i="59"/>
  <c r="Z100" i="59" s="1"/>
  <c r="Z99" i="59"/>
  <c r="Z110" i="59"/>
  <c r="Y50" i="59"/>
  <c r="Y54" i="59"/>
  <c r="Y68" i="59"/>
  <c r="Y72" i="59"/>
  <c r="Y84" i="59"/>
  <c r="Y100" i="59" s="1"/>
  <c r="Y99" i="59"/>
  <c r="Y110" i="59"/>
  <c r="X50" i="59"/>
  <c r="X54" i="59"/>
  <c r="X68" i="59"/>
  <c r="X72" i="59"/>
  <c r="X84" i="59"/>
  <c r="X100" i="59" s="1"/>
  <c r="X99" i="59"/>
  <c r="X110" i="59"/>
  <c r="W50" i="59"/>
  <c r="W54" i="59"/>
  <c r="W68" i="59"/>
  <c r="W72" i="59"/>
  <c r="W84" i="59"/>
  <c r="W100" i="59" s="1"/>
  <c r="W99" i="59"/>
  <c r="W110" i="59"/>
  <c r="V50" i="59"/>
  <c r="V54" i="59"/>
  <c r="V68" i="59"/>
  <c r="V72" i="59"/>
  <c r="V84" i="59"/>
  <c r="V100" i="59" s="1"/>
  <c r="V99" i="59"/>
  <c r="V110" i="59"/>
  <c r="T50" i="59"/>
  <c r="U50" i="59"/>
  <c r="T54" i="59"/>
  <c r="U54" i="59"/>
  <c r="T68" i="59"/>
  <c r="U68" i="59"/>
  <c r="T72" i="59"/>
  <c r="U72" i="59"/>
  <c r="T84" i="59"/>
  <c r="U84" i="59"/>
  <c r="U100" i="59" s="1"/>
  <c r="T99" i="59"/>
  <c r="U99" i="59"/>
  <c r="T110" i="59"/>
  <c r="U110" i="59"/>
  <c r="M234" i="61" l="1"/>
  <c r="K270" i="61"/>
  <c r="L110" i="61"/>
  <c r="N229" i="61"/>
  <c r="M110" i="61"/>
  <c r="AE92" i="60"/>
  <c r="AD92" i="60"/>
  <c r="AD7" i="60"/>
  <c r="AC92" i="60"/>
  <c r="AU249" i="60"/>
  <c r="L92" i="60"/>
  <c r="AD249" i="60"/>
  <c r="I7" i="60"/>
  <c r="AC249" i="60"/>
  <c r="K7" i="60"/>
  <c r="J7" i="60"/>
  <c r="J92" i="60"/>
  <c r="I92" i="60"/>
  <c r="Z249" i="60"/>
  <c r="AI89" i="60"/>
  <c r="G7" i="60"/>
  <c r="B244" i="60"/>
  <c r="C244" i="60"/>
  <c r="E7" i="60"/>
  <c r="D92" i="60"/>
  <c r="AH89" i="60"/>
  <c r="V249" i="60"/>
  <c r="B91" i="60"/>
  <c r="B7" i="60" s="1"/>
  <c r="B92" i="60"/>
  <c r="AI91" i="60"/>
  <c r="AH91" i="60"/>
  <c r="F229" i="60"/>
  <c r="E110" i="60"/>
  <c r="E235" i="60"/>
  <c r="F270" i="60"/>
  <c r="H234" i="60"/>
  <c r="AH100" i="60"/>
  <c r="AI100" i="60"/>
  <c r="Z89" i="59"/>
  <c r="Z91" i="59" s="1"/>
  <c r="Z92" i="59" s="1"/>
  <c r="Y89" i="59"/>
  <c r="Y91" i="59" s="1"/>
  <c r="Y92" i="59" s="1"/>
  <c r="X89" i="59"/>
  <c r="X91" i="59" s="1"/>
  <c r="X92" i="59" s="1"/>
  <c r="W89" i="59"/>
  <c r="W91" i="59" s="1"/>
  <c r="W92" i="59" s="1"/>
  <c r="V89" i="59"/>
  <c r="V91" i="59" s="1"/>
  <c r="V92" i="59" s="1"/>
  <c r="T89" i="59"/>
  <c r="T91" i="59" s="1"/>
  <c r="T92" i="59" s="1"/>
  <c r="U89" i="59"/>
  <c r="U91" i="59" s="1"/>
  <c r="U92" i="59" s="1"/>
  <c r="T100" i="59"/>
  <c r="O229" i="61" l="1"/>
  <c r="N110" i="61"/>
  <c r="L270" i="61"/>
  <c r="N234" i="61"/>
  <c r="K6" i="60"/>
  <c r="T249" i="60"/>
  <c r="A7" i="60"/>
  <c r="F110" i="60"/>
  <c r="G229" i="60"/>
  <c r="F235" i="60"/>
  <c r="G270" i="60"/>
  <c r="I234" i="60"/>
  <c r="AI92" i="60"/>
  <c r="AH92" i="60"/>
  <c r="M270" i="61" l="1"/>
  <c r="O234" i="61"/>
  <c r="P229" i="61"/>
  <c r="O110" i="61"/>
  <c r="H270" i="60"/>
  <c r="J234" i="60"/>
  <c r="H229" i="60"/>
  <c r="G235" i="60"/>
  <c r="G110" i="60"/>
  <c r="AI110" i="61" l="1"/>
  <c r="AH110" i="61"/>
  <c r="N270" i="61"/>
  <c r="P234" i="61"/>
  <c r="O270" i="61" s="1"/>
  <c r="I229" i="60"/>
  <c r="H110" i="60"/>
  <c r="H235" i="60"/>
  <c r="K234" i="60"/>
  <c r="I270" i="60"/>
  <c r="J270" i="60" l="1"/>
  <c r="L234" i="60"/>
  <c r="I110" i="60"/>
  <c r="J229" i="60"/>
  <c r="J110" i="60" l="1"/>
  <c r="K229" i="60"/>
  <c r="M234" i="60"/>
  <c r="K270" i="60"/>
  <c r="L270" i="60" l="1"/>
  <c r="N234" i="60"/>
  <c r="K110" i="60"/>
  <c r="L229" i="60"/>
  <c r="M229" i="60" l="1"/>
  <c r="L110" i="60"/>
  <c r="M270" i="60"/>
  <c r="O234" i="60"/>
  <c r="N270" i="60" l="1"/>
  <c r="P234" i="60"/>
  <c r="O270" i="60" s="1"/>
  <c r="N229" i="60"/>
  <c r="M110" i="60"/>
  <c r="O229" i="60" l="1"/>
  <c r="N110" i="60"/>
  <c r="P229" i="60" l="1"/>
  <c r="O110" i="60"/>
  <c r="AI110" i="60" l="1"/>
  <c r="AH110" i="60"/>
  <c r="S50" i="59" l="1"/>
  <c r="S54" i="59"/>
  <c r="S68" i="59"/>
  <c r="S72" i="59"/>
  <c r="S84" i="59"/>
  <c r="S100" i="59" s="1"/>
  <c r="S99" i="59"/>
  <c r="S110" i="59"/>
  <c r="O49" i="59"/>
  <c r="S89" i="59" l="1"/>
  <c r="S91" i="59" s="1"/>
  <c r="S92" i="59" s="1"/>
  <c r="N49" i="59" l="1"/>
  <c r="M49" i="59" l="1"/>
  <c r="L113" i="59"/>
  <c r="L49" i="59"/>
  <c r="K113" i="59"/>
  <c r="K49" i="59"/>
  <c r="J113" i="59"/>
  <c r="J49" i="59"/>
  <c r="I113" i="59"/>
  <c r="I49" i="59"/>
  <c r="H113" i="59"/>
  <c r="H49" i="59"/>
  <c r="G113" i="59"/>
  <c r="G49" i="59"/>
  <c r="F113" i="59"/>
  <c r="F49" i="59"/>
  <c r="E113" i="59"/>
  <c r="AF274" i="59" l="1"/>
  <c r="AE274" i="59"/>
  <c r="AD274" i="59"/>
  <c r="AC274" i="59"/>
  <c r="AB274" i="59"/>
  <c r="AA274" i="59"/>
  <c r="Z274" i="59"/>
  <c r="Y274" i="59"/>
  <c r="X274" i="59"/>
  <c r="W274" i="59"/>
  <c r="V274" i="59"/>
  <c r="U274" i="59"/>
  <c r="T274" i="59"/>
  <c r="S274" i="59"/>
  <c r="R274" i="59"/>
  <c r="Q274" i="59"/>
  <c r="P274" i="59"/>
  <c r="O274" i="59"/>
  <c r="N274" i="59"/>
  <c r="M274" i="59"/>
  <c r="L274" i="59"/>
  <c r="K274" i="59"/>
  <c r="J274" i="59"/>
  <c r="I274" i="59"/>
  <c r="H274" i="59"/>
  <c r="G274" i="59"/>
  <c r="F274" i="59"/>
  <c r="E274" i="59"/>
  <c r="D274" i="59"/>
  <c r="C274" i="59"/>
  <c r="B274" i="59"/>
  <c r="A274" i="59"/>
  <c r="AF273" i="59"/>
  <c r="AE273" i="59"/>
  <c r="AD273" i="59"/>
  <c r="AC273" i="59"/>
  <c r="AB273" i="59"/>
  <c r="AA273" i="59"/>
  <c r="Z273" i="59"/>
  <c r="Y273" i="59"/>
  <c r="X273" i="59"/>
  <c r="W273" i="59"/>
  <c r="V273" i="59"/>
  <c r="U273" i="59"/>
  <c r="T273" i="59"/>
  <c r="S273" i="59"/>
  <c r="R273" i="59"/>
  <c r="Q273" i="59"/>
  <c r="P273" i="59"/>
  <c r="O273" i="59"/>
  <c r="N273" i="59"/>
  <c r="M273" i="59"/>
  <c r="L273" i="59"/>
  <c r="K273" i="59"/>
  <c r="J273" i="59"/>
  <c r="I273" i="59"/>
  <c r="H273" i="59"/>
  <c r="G273" i="59"/>
  <c r="F273" i="59"/>
  <c r="E273" i="59"/>
  <c r="D273" i="59"/>
  <c r="C273" i="59"/>
  <c r="B273" i="59"/>
  <c r="A273" i="59"/>
  <c r="AF272" i="59"/>
  <c r="AE272" i="59"/>
  <c r="AD272" i="59"/>
  <c r="AC272" i="59"/>
  <c r="AB272" i="59"/>
  <c r="AA272" i="59"/>
  <c r="Z272" i="59"/>
  <c r="Y272" i="59"/>
  <c r="X272" i="59"/>
  <c r="W272" i="59"/>
  <c r="V272" i="59"/>
  <c r="U272" i="59"/>
  <c r="T272" i="59"/>
  <c r="S272" i="59"/>
  <c r="R272" i="59"/>
  <c r="Q272" i="59"/>
  <c r="P272" i="59"/>
  <c r="O272" i="59"/>
  <c r="N272" i="59"/>
  <c r="M272" i="59"/>
  <c r="L272" i="59"/>
  <c r="K272" i="59"/>
  <c r="J272" i="59"/>
  <c r="I272" i="59"/>
  <c r="H272" i="59"/>
  <c r="G272" i="59"/>
  <c r="F272" i="59"/>
  <c r="E272" i="59"/>
  <c r="D272" i="59"/>
  <c r="C272" i="59"/>
  <c r="B272" i="59"/>
  <c r="A272" i="59"/>
  <c r="AF271" i="59"/>
  <c r="AE271" i="59"/>
  <c r="AD271" i="59"/>
  <c r="AC271" i="59"/>
  <c r="AB271" i="59"/>
  <c r="AA271" i="59"/>
  <c r="Z271" i="59"/>
  <c r="Y271" i="59"/>
  <c r="X271" i="59"/>
  <c r="W271" i="59"/>
  <c r="V271" i="59"/>
  <c r="U271" i="59"/>
  <c r="T271" i="59"/>
  <c r="S271" i="59"/>
  <c r="R271" i="59"/>
  <c r="Q271" i="59"/>
  <c r="P271" i="59"/>
  <c r="O271" i="59"/>
  <c r="N271" i="59"/>
  <c r="M271" i="59"/>
  <c r="L271" i="59"/>
  <c r="K271" i="59"/>
  <c r="J271" i="59"/>
  <c r="I271" i="59"/>
  <c r="H271" i="59"/>
  <c r="G271" i="59"/>
  <c r="F271" i="59"/>
  <c r="E271" i="59"/>
  <c r="D271" i="59"/>
  <c r="C271" i="59"/>
  <c r="B271" i="59"/>
  <c r="A271" i="59"/>
  <c r="AE270" i="59"/>
  <c r="AD270" i="59"/>
  <c r="AC270" i="59"/>
  <c r="AB270" i="59"/>
  <c r="AA270" i="59"/>
  <c r="Z270" i="59"/>
  <c r="Y270" i="59"/>
  <c r="X270" i="59"/>
  <c r="W270" i="59"/>
  <c r="V270" i="59"/>
  <c r="U270" i="59"/>
  <c r="T270" i="59"/>
  <c r="S270" i="59"/>
  <c r="R270" i="59"/>
  <c r="Q270" i="59"/>
  <c r="P270" i="59"/>
  <c r="B270" i="59"/>
  <c r="S245" i="59"/>
  <c r="AG235" i="59"/>
  <c r="AF235" i="59"/>
  <c r="AE235" i="59"/>
  <c r="AD235" i="59"/>
  <c r="AC235" i="59"/>
  <c r="AB235" i="59"/>
  <c r="AA235" i="59"/>
  <c r="Z235" i="59"/>
  <c r="Y235" i="59"/>
  <c r="X235" i="59"/>
  <c r="W235" i="59"/>
  <c r="V235" i="59"/>
  <c r="U235" i="59"/>
  <c r="T235" i="59"/>
  <c r="S235" i="59"/>
  <c r="R235" i="59"/>
  <c r="Q235" i="59"/>
  <c r="C235" i="59"/>
  <c r="D234" i="59"/>
  <c r="E234" i="59" s="1"/>
  <c r="B234" i="59"/>
  <c r="AF270" i="59" s="1"/>
  <c r="F233" i="59"/>
  <c r="G233" i="59" s="1"/>
  <c r="H233" i="59" s="1"/>
  <c r="I233" i="59" s="1"/>
  <c r="J233" i="59" s="1"/>
  <c r="K233" i="59" s="1"/>
  <c r="L233" i="59" s="1"/>
  <c r="M233" i="59" s="1"/>
  <c r="N233" i="59" s="1"/>
  <c r="O233" i="59" s="1"/>
  <c r="P233" i="59" s="1"/>
  <c r="E233" i="59"/>
  <c r="D233" i="59"/>
  <c r="B233" i="59"/>
  <c r="D232" i="59"/>
  <c r="E232" i="59" s="1"/>
  <c r="F232" i="59" s="1"/>
  <c r="G232" i="59" s="1"/>
  <c r="H232" i="59" s="1"/>
  <c r="I232" i="59" s="1"/>
  <c r="B232" i="59"/>
  <c r="F231" i="59"/>
  <c r="G231" i="59" s="1"/>
  <c r="H231" i="59" s="1"/>
  <c r="E231" i="59"/>
  <c r="D231" i="59"/>
  <c r="B231" i="59"/>
  <c r="D230" i="59"/>
  <c r="D235" i="59" s="1"/>
  <c r="B230" i="59"/>
  <c r="F229" i="59"/>
  <c r="G229" i="59" s="1"/>
  <c r="E229" i="59"/>
  <c r="D229" i="59"/>
  <c r="B229" i="59"/>
  <c r="B110" i="59" s="1"/>
  <c r="AG227" i="59"/>
  <c r="AF227" i="59"/>
  <c r="AE227" i="59"/>
  <c r="AD227" i="59"/>
  <c r="AC227" i="59"/>
  <c r="AB227" i="59"/>
  <c r="AA227" i="59"/>
  <c r="Z227" i="59"/>
  <c r="Y227" i="59"/>
  <c r="X227" i="59"/>
  <c r="W227" i="59"/>
  <c r="V227" i="59"/>
  <c r="U227" i="59"/>
  <c r="T227" i="59"/>
  <c r="S227" i="59"/>
  <c r="R227" i="59"/>
  <c r="Q227" i="59"/>
  <c r="P227" i="59"/>
  <c r="O227" i="59"/>
  <c r="N227" i="59"/>
  <c r="M227" i="59"/>
  <c r="L227" i="59"/>
  <c r="K227" i="59"/>
  <c r="J227" i="59"/>
  <c r="I227" i="59"/>
  <c r="H227" i="59"/>
  <c r="G227" i="59"/>
  <c r="F227" i="59"/>
  <c r="E227" i="59"/>
  <c r="D227" i="59"/>
  <c r="C227" i="59"/>
  <c r="B227" i="59"/>
  <c r="AI120" i="59"/>
  <c r="AH120" i="59"/>
  <c r="AI119" i="59"/>
  <c r="AH119" i="59"/>
  <c r="AI118" i="59"/>
  <c r="AH118" i="59"/>
  <c r="AI117" i="59"/>
  <c r="AH117" i="59"/>
  <c r="AI116" i="59"/>
  <c r="AH116" i="59"/>
  <c r="AI115" i="59"/>
  <c r="AH115" i="59"/>
  <c r="AI114" i="59"/>
  <c r="AH114" i="59"/>
  <c r="AI113" i="59"/>
  <c r="AH113" i="59"/>
  <c r="AI112" i="59"/>
  <c r="AH112" i="59"/>
  <c r="AI111" i="59"/>
  <c r="AH111" i="59"/>
  <c r="AF110" i="59"/>
  <c r="AE110" i="59"/>
  <c r="AC110" i="59"/>
  <c r="AB110" i="59"/>
  <c r="R110" i="59"/>
  <c r="Q110" i="59"/>
  <c r="D110" i="59"/>
  <c r="C110" i="59"/>
  <c r="AI109" i="59"/>
  <c r="AH109" i="59"/>
  <c r="AI108" i="59"/>
  <c r="AH108" i="59"/>
  <c r="AI107" i="59"/>
  <c r="AH107" i="59"/>
  <c r="AI106" i="59"/>
  <c r="AH106" i="59"/>
  <c r="AI105" i="59"/>
  <c r="AH105" i="59"/>
  <c r="AI104" i="59"/>
  <c r="AH104" i="59"/>
  <c r="AI103" i="59"/>
  <c r="AH103" i="59"/>
  <c r="AI102" i="59"/>
  <c r="AH102" i="59"/>
  <c r="AI101" i="59"/>
  <c r="AH101" i="59"/>
  <c r="AF99" i="59"/>
  <c r="AE99" i="59"/>
  <c r="AD99" i="59"/>
  <c r="AC99" i="59"/>
  <c r="AB99" i="59"/>
  <c r="R99" i="59"/>
  <c r="Q99" i="59"/>
  <c r="P99" i="59"/>
  <c r="O99" i="59"/>
  <c r="N99" i="59"/>
  <c r="M99" i="59"/>
  <c r="L99" i="59"/>
  <c r="K99" i="59"/>
  <c r="J99" i="59"/>
  <c r="I99" i="59"/>
  <c r="H99" i="59"/>
  <c r="G99" i="59"/>
  <c r="F99" i="59"/>
  <c r="E99" i="59"/>
  <c r="D99" i="59"/>
  <c r="C99" i="59"/>
  <c r="B99" i="59"/>
  <c r="AI98" i="59"/>
  <c r="AH98" i="59"/>
  <c r="AI97" i="59"/>
  <c r="AH97" i="59"/>
  <c r="AI96" i="59"/>
  <c r="AH96" i="59"/>
  <c r="AI95" i="59"/>
  <c r="AH95" i="59"/>
  <c r="AI94" i="59"/>
  <c r="AH94" i="59"/>
  <c r="AI93" i="59"/>
  <c r="AH93" i="59"/>
  <c r="AI90" i="59"/>
  <c r="AH90" i="59"/>
  <c r="AI88" i="59"/>
  <c r="AH88" i="59"/>
  <c r="AG88" i="59"/>
  <c r="AG91" i="59" s="1"/>
  <c r="AI87" i="59"/>
  <c r="AH87" i="59"/>
  <c r="AI86" i="59"/>
  <c r="AH86" i="59"/>
  <c r="AI85" i="59"/>
  <c r="AH85" i="59"/>
  <c r="AG84" i="59"/>
  <c r="AF84" i="59"/>
  <c r="AE5" i="59" s="1"/>
  <c r="AE84" i="59"/>
  <c r="AD5" i="59" s="1"/>
  <c r="AD84" i="59"/>
  <c r="AD100" i="59" s="1"/>
  <c r="AC84" i="59"/>
  <c r="AC100" i="59" s="1"/>
  <c r="AB84" i="59"/>
  <c r="AB100" i="59" s="1"/>
  <c r="V5" i="59"/>
  <c r="R84" i="59"/>
  <c r="R100" i="59" s="1"/>
  <c r="Q84" i="59"/>
  <c r="Q100" i="59" s="1"/>
  <c r="P84" i="59"/>
  <c r="O5" i="59" s="1"/>
  <c r="O84" i="59"/>
  <c r="N5" i="59" s="1"/>
  <c r="N84" i="59"/>
  <c r="N100" i="59" s="1"/>
  <c r="M84" i="59"/>
  <c r="M100" i="59" s="1"/>
  <c r="L84" i="59"/>
  <c r="L100" i="59" s="1"/>
  <c r="K84" i="59"/>
  <c r="J84" i="59"/>
  <c r="J100" i="59" s="1"/>
  <c r="I84" i="59"/>
  <c r="I100" i="59" s="1"/>
  <c r="H84" i="59"/>
  <c r="G5" i="59" s="1"/>
  <c r="G84" i="59"/>
  <c r="F5" i="59" s="1"/>
  <c r="F84" i="59"/>
  <c r="F100" i="59" s="1"/>
  <c r="E84" i="59"/>
  <c r="E100" i="59" s="1"/>
  <c r="D84" i="59"/>
  <c r="D100" i="59" s="1"/>
  <c r="C84" i="59"/>
  <c r="C100" i="59" s="1"/>
  <c r="B84" i="59"/>
  <c r="AI83" i="59"/>
  <c r="AH83" i="59"/>
  <c r="AI82" i="59"/>
  <c r="AH82" i="59"/>
  <c r="AI81" i="59"/>
  <c r="AH81" i="59"/>
  <c r="AI80" i="59"/>
  <c r="AH80" i="59"/>
  <c r="AI79" i="59"/>
  <c r="AH79" i="59"/>
  <c r="AI78" i="59"/>
  <c r="AH78" i="59"/>
  <c r="AI77" i="59"/>
  <c r="AH77" i="59"/>
  <c r="AI76" i="59"/>
  <c r="AH76" i="59"/>
  <c r="AI75" i="59"/>
  <c r="AH75" i="59"/>
  <c r="AI74" i="59"/>
  <c r="AH74" i="59"/>
  <c r="AI73" i="59"/>
  <c r="AH73" i="59"/>
  <c r="AG72" i="59"/>
  <c r="AF72" i="59"/>
  <c r="AE72" i="59"/>
  <c r="AD72" i="59"/>
  <c r="AC72" i="59"/>
  <c r="AB72" i="59"/>
  <c r="R72" i="59"/>
  <c r="Q72" i="59"/>
  <c r="P72" i="59"/>
  <c r="O72" i="59"/>
  <c r="N72" i="59"/>
  <c r="M72" i="59"/>
  <c r="L72" i="59"/>
  <c r="B72" i="59"/>
  <c r="AI71" i="59"/>
  <c r="AH71" i="59"/>
  <c r="AI70" i="59"/>
  <c r="AH70" i="59"/>
  <c r="AI69" i="59"/>
  <c r="AH69" i="59"/>
  <c r="AG68" i="59"/>
  <c r="AG3" i="59" s="1"/>
  <c r="AF68" i="59"/>
  <c r="AE68" i="59"/>
  <c r="AD68" i="59"/>
  <c r="AC68" i="59"/>
  <c r="AB68" i="59"/>
  <c r="R68" i="59"/>
  <c r="Q68" i="59"/>
  <c r="P68" i="59"/>
  <c r="O68" i="59"/>
  <c r="N68" i="59"/>
  <c r="M68" i="59"/>
  <c r="L68" i="59"/>
  <c r="K68" i="59"/>
  <c r="J68" i="59"/>
  <c r="I68" i="59"/>
  <c r="H68" i="59"/>
  <c r="G68" i="59"/>
  <c r="F68" i="59"/>
  <c r="E68" i="59"/>
  <c r="D68" i="59"/>
  <c r="C68" i="59"/>
  <c r="B68" i="59"/>
  <c r="AI67" i="59"/>
  <c r="AH67" i="59"/>
  <c r="AG67" i="59"/>
  <c r="AI66" i="59"/>
  <c r="AH66" i="59"/>
  <c r="AI65" i="59"/>
  <c r="AH65" i="59"/>
  <c r="AI64" i="59"/>
  <c r="AH64" i="59"/>
  <c r="AI63" i="59"/>
  <c r="AH63" i="59"/>
  <c r="AI62" i="59"/>
  <c r="AH62" i="59"/>
  <c r="AI61" i="59"/>
  <c r="AH61" i="59"/>
  <c r="AI60" i="59"/>
  <c r="AH60" i="59"/>
  <c r="AI59" i="59"/>
  <c r="AH59" i="59"/>
  <c r="AI58" i="59"/>
  <c r="AH58" i="59"/>
  <c r="AI57" i="59"/>
  <c r="AH57" i="59"/>
  <c r="AI56" i="59"/>
  <c r="AH56" i="59"/>
  <c r="AI55" i="59"/>
  <c r="AH55" i="59"/>
  <c r="AG54" i="59"/>
  <c r="AF54" i="59"/>
  <c r="AE54" i="59"/>
  <c r="AD54" i="59"/>
  <c r="AC54" i="59"/>
  <c r="AB54" i="59"/>
  <c r="R54" i="59"/>
  <c r="Q54" i="59"/>
  <c r="P54" i="59"/>
  <c r="O54" i="59"/>
  <c r="N54" i="59"/>
  <c r="M54" i="59"/>
  <c r="L54" i="59"/>
  <c r="K54" i="59"/>
  <c r="J54" i="59"/>
  <c r="I54" i="59"/>
  <c r="H54" i="59"/>
  <c r="G54" i="59"/>
  <c r="F54" i="59"/>
  <c r="E54" i="59"/>
  <c r="D54" i="59"/>
  <c r="C54" i="59"/>
  <c r="B54" i="59"/>
  <c r="AI53" i="59"/>
  <c r="AH53" i="59"/>
  <c r="AI52" i="59"/>
  <c r="AH52" i="59"/>
  <c r="AI51" i="59"/>
  <c r="AH51" i="59"/>
  <c r="AG50" i="59"/>
  <c r="AG89" i="59" s="1"/>
  <c r="AF50" i="59"/>
  <c r="AE50" i="59"/>
  <c r="AD50" i="59"/>
  <c r="AC50" i="59"/>
  <c r="AB50" i="59"/>
  <c r="R50" i="59"/>
  <c r="Q50" i="59"/>
  <c r="P50" i="59"/>
  <c r="O50" i="59"/>
  <c r="N50" i="59"/>
  <c r="M50" i="59"/>
  <c r="L50" i="59"/>
  <c r="K50" i="59"/>
  <c r="J50" i="59"/>
  <c r="I50" i="59"/>
  <c r="H50" i="59"/>
  <c r="G50" i="59"/>
  <c r="F50" i="59"/>
  <c r="E50" i="59"/>
  <c r="D50" i="59"/>
  <c r="C50" i="59"/>
  <c r="B50" i="59"/>
  <c r="AI49" i="59"/>
  <c r="AH49" i="59"/>
  <c r="AI48" i="59"/>
  <c r="AH48" i="59"/>
  <c r="AI47" i="59"/>
  <c r="AH47" i="59"/>
  <c r="AI46" i="59"/>
  <c r="AH46" i="59"/>
  <c r="AI45" i="59"/>
  <c r="AH45" i="59"/>
  <c r="AI44" i="59"/>
  <c r="AH44" i="59"/>
  <c r="AI43" i="59"/>
  <c r="AH43" i="59"/>
  <c r="AI42" i="59"/>
  <c r="AH42" i="59"/>
  <c r="AI41" i="59"/>
  <c r="AH41" i="59"/>
  <c r="AI40" i="59"/>
  <c r="AH40" i="59"/>
  <c r="AI39" i="59"/>
  <c r="AH39" i="59"/>
  <c r="AI38" i="59"/>
  <c r="AH38" i="59"/>
  <c r="AI37" i="59"/>
  <c r="AH37" i="59"/>
  <c r="AI36" i="59"/>
  <c r="AH36" i="59"/>
  <c r="AI35" i="59"/>
  <c r="AH35" i="59"/>
  <c r="AI34" i="59"/>
  <c r="AH34" i="59"/>
  <c r="AI33" i="59"/>
  <c r="AH33" i="59"/>
  <c r="AI32" i="59"/>
  <c r="AH32" i="59"/>
  <c r="AI31" i="59"/>
  <c r="AH31" i="59"/>
  <c r="AI30" i="59"/>
  <c r="AH30" i="59"/>
  <c r="AI29" i="59"/>
  <c r="AH29" i="59"/>
  <c r="AI28" i="59"/>
  <c r="AH28" i="59"/>
  <c r="AI27" i="59"/>
  <c r="AH27" i="59"/>
  <c r="AI26" i="59"/>
  <c r="AH26" i="59"/>
  <c r="AI25" i="59"/>
  <c r="AH25" i="59"/>
  <c r="AI24" i="59"/>
  <c r="AH24" i="59"/>
  <c r="AI23" i="59"/>
  <c r="AH23" i="59"/>
  <c r="AI22" i="59"/>
  <c r="AH22" i="59"/>
  <c r="AI21" i="59"/>
  <c r="AH21" i="59"/>
  <c r="AI20" i="59"/>
  <c r="AH20" i="59"/>
  <c r="AI19" i="59"/>
  <c r="AH19" i="59"/>
  <c r="AI18" i="59"/>
  <c r="AH18" i="59"/>
  <c r="AI17" i="59"/>
  <c r="AH17" i="59"/>
  <c r="AI16" i="59"/>
  <c r="AH16" i="59"/>
  <c r="AI15" i="59"/>
  <c r="AH15" i="59"/>
  <c r="AI14" i="59"/>
  <c r="AH14" i="59"/>
  <c r="AI13" i="59"/>
  <c r="AH13" i="59"/>
  <c r="AI12" i="59"/>
  <c r="AH12" i="59"/>
  <c r="AI11" i="59"/>
  <c r="AH11" i="59"/>
  <c r="AF5" i="59"/>
  <c r="Z5" i="59"/>
  <c r="Y5" i="59"/>
  <c r="X5" i="59"/>
  <c r="W5" i="59"/>
  <c r="S5" i="59"/>
  <c r="R5" i="59"/>
  <c r="AG4" i="59"/>
  <c r="K4" i="59"/>
  <c r="E4" i="59"/>
  <c r="H4" i="59" s="1"/>
  <c r="B4" i="59"/>
  <c r="S246" i="59" s="1"/>
  <c r="AF100" i="59" l="1"/>
  <c r="AI72" i="59"/>
  <c r="AF89" i="59"/>
  <c r="AF91" i="59" s="1"/>
  <c r="AX249" i="59" s="1"/>
  <c r="AE100" i="59"/>
  <c r="AE89" i="59"/>
  <c r="AE91" i="59" s="1"/>
  <c r="AE7" i="59" s="1"/>
  <c r="AD89" i="59"/>
  <c r="AD91" i="59" s="1"/>
  <c r="AC89" i="59"/>
  <c r="AC91" i="59" s="1"/>
  <c r="AC7" i="59" s="1"/>
  <c r="AA5" i="59"/>
  <c r="AB89" i="59"/>
  <c r="AB91" i="59" s="1"/>
  <c r="AB7" i="59" s="1"/>
  <c r="R89" i="59"/>
  <c r="R91" i="59" s="1"/>
  <c r="Q5" i="59"/>
  <c r="P5" i="59"/>
  <c r="Q89" i="59"/>
  <c r="Q91" i="59" s="1"/>
  <c r="P100" i="59"/>
  <c r="P89" i="59"/>
  <c r="P91" i="59" s="1"/>
  <c r="O100" i="59"/>
  <c r="O89" i="59"/>
  <c r="O91" i="59" s="1"/>
  <c r="N89" i="59"/>
  <c r="N91" i="59" s="1"/>
  <c r="M89" i="59"/>
  <c r="M91" i="59" s="1"/>
  <c r="K5" i="59"/>
  <c r="L89" i="59"/>
  <c r="L91" i="59" s="1"/>
  <c r="K100" i="59"/>
  <c r="J5" i="59"/>
  <c r="K89" i="59"/>
  <c r="K91" i="59" s="1"/>
  <c r="I5" i="59"/>
  <c r="J89" i="59"/>
  <c r="J91" i="59" s="1"/>
  <c r="H5" i="59"/>
  <c r="I89" i="59"/>
  <c r="I91" i="59" s="1"/>
  <c r="H89" i="59"/>
  <c r="H91" i="59" s="1"/>
  <c r="AH99" i="59"/>
  <c r="G100" i="59"/>
  <c r="G89" i="59"/>
  <c r="G91" i="59" s="1"/>
  <c r="F89" i="59"/>
  <c r="F91" i="59" s="1"/>
  <c r="AI99" i="59"/>
  <c r="E89" i="59"/>
  <c r="E91" i="59" s="1"/>
  <c r="C5" i="59"/>
  <c r="D89" i="59"/>
  <c r="D91" i="59" s="1"/>
  <c r="AI54" i="59"/>
  <c r="AI84" i="59"/>
  <c r="B5" i="59"/>
  <c r="C89" i="59"/>
  <c r="C91" i="59" s="1"/>
  <c r="C92" i="59" s="1"/>
  <c r="AI68" i="59"/>
  <c r="B89" i="59"/>
  <c r="D246" i="59"/>
  <c r="AG249" i="59"/>
  <c r="O92" i="59"/>
  <c r="O7" i="59"/>
  <c r="H92" i="59"/>
  <c r="H7" i="59"/>
  <c r="Z249" i="59"/>
  <c r="AH249" i="59"/>
  <c r="P92" i="59"/>
  <c r="P7" i="59"/>
  <c r="X7" i="59"/>
  <c r="AP249" i="59"/>
  <c r="AF92" i="59"/>
  <c r="D92" i="59"/>
  <c r="D7" i="59"/>
  <c r="V249" i="59"/>
  <c r="D270" i="59"/>
  <c r="F234" i="59"/>
  <c r="E110" i="59"/>
  <c r="I92" i="59"/>
  <c r="AA249" i="59"/>
  <c r="I7" i="59"/>
  <c r="AI249" i="59"/>
  <c r="Q92" i="59"/>
  <c r="Q7" i="59"/>
  <c r="AQ249" i="59"/>
  <c r="Y7" i="59"/>
  <c r="K92" i="59"/>
  <c r="K7" i="59"/>
  <c r="AC249" i="59"/>
  <c r="AO249" i="59"/>
  <c r="W7" i="59"/>
  <c r="B91" i="59"/>
  <c r="J92" i="59"/>
  <c r="J7" i="59"/>
  <c r="AB249" i="59"/>
  <c r="R92" i="59"/>
  <c r="R7" i="59"/>
  <c r="AJ249" i="59"/>
  <c r="Z7" i="59"/>
  <c r="AR249" i="59"/>
  <c r="L92" i="59"/>
  <c r="L7" i="59"/>
  <c r="AD249" i="59"/>
  <c r="H229" i="59"/>
  <c r="J232" i="59"/>
  <c r="K232" i="59" s="1"/>
  <c r="L232" i="59" s="1"/>
  <c r="M232" i="59" s="1"/>
  <c r="N232" i="59" s="1"/>
  <c r="O232" i="59" s="1"/>
  <c r="P232" i="59" s="1"/>
  <c r="S7" i="59"/>
  <c r="AK249" i="59"/>
  <c r="T7" i="59"/>
  <c r="AL249" i="59"/>
  <c r="Y249" i="59"/>
  <c r="C244" i="59"/>
  <c r="B244" i="59"/>
  <c r="G7" i="59"/>
  <c r="G92" i="59"/>
  <c r="E7" i="59"/>
  <c r="W249" i="59"/>
  <c r="E92" i="59"/>
  <c r="M7" i="59"/>
  <c r="AE249" i="59"/>
  <c r="M92" i="59"/>
  <c r="U7" i="59"/>
  <c r="AM249" i="59"/>
  <c r="AA7" i="59"/>
  <c r="AS249" i="59"/>
  <c r="F7" i="59"/>
  <c r="X249" i="59"/>
  <c r="F92" i="59"/>
  <c r="N7" i="59"/>
  <c r="AF249" i="59"/>
  <c r="N92" i="59"/>
  <c r="V7" i="59"/>
  <c r="AN249" i="59"/>
  <c r="AD7" i="59"/>
  <c r="AV249" i="59"/>
  <c r="AD92" i="59"/>
  <c r="AH54" i="59"/>
  <c r="AI50" i="59"/>
  <c r="H100" i="59"/>
  <c r="AG2" i="59"/>
  <c r="AG6" i="59" s="1"/>
  <c r="C270" i="59"/>
  <c r="E230" i="59"/>
  <c r="D5" i="59"/>
  <c r="L5" i="59"/>
  <c r="T5" i="59"/>
  <c r="AB5" i="59"/>
  <c r="B100" i="59"/>
  <c r="E5" i="59"/>
  <c r="M5" i="59"/>
  <c r="U5" i="59"/>
  <c r="AC5" i="59"/>
  <c r="AH72" i="59"/>
  <c r="AH84" i="59"/>
  <c r="AH68" i="59"/>
  <c r="B235" i="59"/>
  <c r="AH50" i="59"/>
  <c r="AF7" i="59" l="1"/>
  <c r="AW249" i="59"/>
  <c r="AE92" i="59"/>
  <c r="AT249" i="59"/>
  <c r="AB92" i="59"/>
  <c r="AH89" i="59"/>
  <c r="AC92" i="59"/>
  <c r="AU249" i="59"/>
  <c r="AI89" i="59"/>
  <c r="C7" i="59"/>
  <c r="U249" i="59"/>
  <c r="E235" i="59"/>
  <c r="F230" i="59"/>
  <c r="I229" i="59"/>
  <c r="E270" i="59"/>
  <c r="G234" i="59"/>
  <c r="F110" i="59"/>
  <c r="B92" i="59"/>
  <c r="AI91" i="59"/>
  <c r="AH91" i="59"/>
  <c r="B7" i="59"/>
  <c r="A7" i="59" s="1"/>
  <c r="T249" i="59"/>
  <c r="AI100" i="59"/>
  <c r="AH100" i="59"/>
  <c r="K6" i="59"/>
  <c r="J229" i="59" l="1"/>
  <c r="F235" i="59"/>
  <c r="G230" i="59"/>
  <c r="F270" i="59"/>
  <c r="H234" i="59"/>
  <c r="G110" i="59"/>
  <c r="AI92" i="59"/>
  <c r="AH92" i="59"/>
  <c r="G270" i="59" l="1"/>
  <c r="I234" i="59"/>
  <c r="H110" i="59"/>
  <c r="H230" i="59"/>
  <c r="G235" i="59"/>
  <c r="K229" i="59"/>
  <c r="I230" i="59" l="1"/>
  <c r="H235" i="59"/>
  <c r="H270" i="59"/>
  <c r="J234" i="59"/>
  <c r="I110" i="59"/>
  <c r="L229" i="59"/>
  <c r="K234" i="59" l="1"/>
  <c r="I270" i="59"/>
  <c r="J110" i="59"/>
  <c r="M229" i="59"/>
  <c r="J230" i="59"/>
  <c r="N229" i="59" l="1"/>
  <c r="K230" i="59"/>
  <c r="J270" i="59"/>
  <c r="L234" i="59"/>
  <c r="K110" i="59"/>
  <c r="M234" i="59" l="1"/>
  <c r="K270" i="59"/>
  <c r="L110" i="59"/>
  <c r="L230" i="59"/>
  <c r="O229" i="59"/>
  <c r="L270" i="59" l="1"/>
  <c r="N234" i="59"/>
  <c r="M110" i="59"/>
  <c r="P229" i="59"/>
  <c r="M230" i="59"/>
  <c r="N230" i="59" l="1"/>
  <c r="M270" i="59"/>
  <c r="O234" i="59"/>
  <c r="N110" i="59"/>
  <c r="O230" i="59" l="1"/>
  <c r="N270" i="59"/>
  <c r="P234" i="59"/>
  <c r="O270" i="59" s="1"/>
  <c r="O110" i="59"/>
  <c r="P230" i="59" l="1"/>
  <c r="AI110" i="59"/>
  <c r="AH110" i="59"/>
  <c r="Y49" i="58" l="1"/>
  <c r="X49" i="58"/>
  <c r="W49" i="58"/>
  <c r="V49" i="58"/>
  <c r="U49" i="58"/>
  <c r="T49" i="58"/>
  <c r="R49" i="58" l="1"/>
  <c r="Q49" i="58"/>
  <c r="P54" i="58" l="1"/>
  <c r="P49" i="58"/>
  <c r="O49" i="58"/>
  <c r="N49" i="58"/>
  <c r="M49" i="58" l="1"/>
  <c r="L113" i="58"/>
  <c r="L49" i="58"/>
  <c r="K113" i="58"/>
  <c r="K49" i="58"/>
  <c r="J113" i="58"/>
  <c r="J49" i="58"/>
  <c r="I113" i="58"/>
  <c r="I49" i="58"/>
  <c r="H113" i="58"/>
  <c r="H49" i="58"/>
  <c r="G113" i="58"/>
  <c r="G49" i="58"/>
  <c r="F49" i="58"/>
  <c r="E113" i="58"/>
  <c r="E49" i="58"/>
  <c r="D113" i="58" l="1"/>
  <c r="D49" i="58"/>
  <c r="D54" i="58"/>
  <c r="D68" i="58"/>
  <c r="D84" i="58"/>
  <c r="D89" i="58" s="1"/>
  <c r="D91" i="58" s="1"/>
  <c r="D99" i="58"/>
  <c r="AF49" i="57"/>
  <c r="AE49" i="57"/>
  <c r="C113" i="58"/>
  <c r="C49" i="58"/>
  <c r="B113" i="58"/>
  <c r="B49" i="58"/>
  <c r="AF274" i="58"/>
  <c r="AE274" i="58"/>
  <c r="AD274" i="58"/>
  <c r="AC274" i="58"/>
  <c r="AB274" i="58"/>
  <c r="AA274" i="58"/>
  <c r="Z274" i="58"/>
  <c r="Y274" i="58"/>
  <c r="X274" i="58"/>
  <c r="W274" i="58"/>
  <c r="V274" i="58"/>
  <c r="U274" i="58"/>
  <c r="T274" i="58"/>
  <c r="S274" i="58"/>
  <c r="R274" i="58"/>
  <c r="Q274" i="58"/>
  <c r="P274" i="58"/>
  <c r="O274" i="58"/>
  <c r="N274" i="58"/>
  <c r="M274" i="58"/>
  <c r="L274" i="58"/>
  <c r="K274" i="58"/>
  <c r="J274" i="58"/>
  <c r="I274" i="58"/>
  <c r="H274" i="58"/>
  <c r="G274" i="58"/>
  <c r="F274" i="58"/>
  <c r="E274" i="58"/>
  <c r="D274" i="58"/>
  <c r="C274" i="58"/>
  <c r="B274" i="58"/>
  <c r="A274" i="58"/>
  <c r="AF273" i="58"/>
  <c r="AE273" i="58"/>
  <c r="AD273" i="58"/>
  <c r="AC273" i="58"/>
  <c r="AB273" i="58"/>
  <c r="AA273" i="58"/>
  <c r="Z273" i="58"/>
  <c r="Y273" i="58"/>
  <c r="X273" i="58"/>
  <c r="W273" i="58"/>
  <c r="V273" i="58"/>
  <c r="U273" i="58"/>
  <c r="T273" i="58"/>
  <c r="S273" i="58"/>
  <c r="R273" i="58"/>
  <c r="Q273" i="58"/>
  <c r="P273" i="58"/>
  <c r="O273" i="58"/>
  <c r="N273" i="58"/>
  <c r="M273" i="58"/>
  <c r="L273" i="58"/>
  <c r="K273" i="58"/>
  <c r="J273" i="58"/>
  <c r="I273" i="58"/>
  <c r="H273" i="58"/>
  <c r="G273" i="58"/>
  <c r="F273" i="58"/>
  <c r="E273" i="58"/>
  <c r="D273" i="58"/>
  <c r="C273" i="58"/>
  <c r="B273" i="58"/>
  <c r="A273" i="58"/>
  <c r="AF272" i="58"/>
  <c r="AE272" i="58"/>
  <c r="AD272" i="58"/>
  <c r="AC272" i="58"/>
  <c r="AB272" i="58"/>
  <c r="AA272" i="58"/>
  <c r="Z272" i="58"/>
  <c r="Y272" i="58"/>
  <c r="X272" i="58"/>
  <c r="W272" i="58"/>
  <c r="V272" i="58"/>
  <c r="U272" i="58"/>
  <c r="T272" i="58"/>
  <c r="S272" i="58"/>
  <c r="R272" i="58"/>
  <c r="Q272" i="58"/>
  <c r="P272" i="58"/>
  <c r="O272" i="58"/>
  <c r="N272" i="58"/>
  <c r="M272" i="58"/>
  <c r="L272" i="58"/>
  <c r="K272" i="58"/>
  <c r="J272" i="58"/>
  <c r="I272" i="58"/>
  <c r="H272" i="58"/>
  <c r="G272" i="58"/>
  <c r="F272" i="58"/>
  <c r="E272" i="58"/>
  <c r="D272" i="58"/>
  <c r="C272" i="58"/>
  <c r="B272" i="58"/>
  <c r="A272" i="58"/>
  <c r="AF271" i="58"/>
  <c r="AE271" i="58"/>
  <c r="AD271" i="58"/>
  <c r="AC271" i="58"/>
  <c r="AB271" i="58"/>
  <c r="AA271" i="58"/>
  <c r="Z271" i="58"/>
  <c r="Y271" i="58"/>
  <c r="X271" i="58"/>
  <c r="W271" i="58"/>
  <c r="V271" i="58"/>
  <c r="U271" i="58"/>
  <c r="T271" i="58"/>
  <c r="S271" i="58"/>
  <c r="R271" i="58"/>
  <c r="Q271" i="58"/>
  <c r="P271" i="58"/>
  <c r="O271" i="58"/>
  <c r="N271" i="58"/>
  <c r="M271" i="58"/>
  <c r="L271" i="58"/>
  <c r="K271" i="58"/>
  <c r="J271" i="58"/>
  <c r="I271" i="58"/>
  <c r="H271" i="58"/>
  <c r="G271" i="58"/>
  <c r="F271" i="58"/>
  <c r="E271" i="58"/>
  <c r="D271" i="58"/>
  <c r="C271" i="58"/>
  <c r="B271" i="58"/>
  <c r="A271" i="58"/>
  <c r="AE270" i="58"/>
  <c r="AD270" i="58"/>
  <c r="AC270" i="58"/>
  <c r="AB270" i="58"/>
  <c r="AA270" i="58"/>
  <c r="Z270" i="58"/>
  <c r="Y270" i="58"/>
  <c r="X270" i="58"/>
  <c r="W270" i="58"/>
  <c r="V270" i="58"/>
  <c r="U270" i="58"/>
  <c r="T270" i="58"/>
  <c r="S270" i="58"/>
  <c r="R270" i="58"/>
  <c r="Q270" i="58"/>
  <c r="P270" i="58"/>
  <c r="B270" i="58"/>
  <c r="S245" i="58"/>
  <c r="AG235" i="58"/>
  <c r="AF235" i="58"/>
  <c r="AE235" i="58"/>
  <c r="AD235" i="58"/>
  <c r="AC235" i="58"/>
  <c r="AB235" i="58"/>
  <c r="AA235" i="58"/>
  <c r="Z235" i="58"/>
  <c r="Y235" i="58"/>
  <c r="X235" i="58"/>
  <c r="W235" i="58"/>
  <c r="V235" i="58"/>
  <c r="U235" i="58"/>
  <c r="T235" i="58"/>
  <c r="S235" i="58"/>
  <c r="R235" i="58"/>
  <c r="Q235" i="58"/>
  <c r="C235" i="58"/>
  <c r="D234" i="58"/>
  <c r="C270" i="58" s="1"/>
  <c r="B234" i="58"/>
  <c r="AF270" i="58" s="1"/>
  <c r="D233" i="58"/>
  <c r="E233" i="58" s="1"/>
  <c r="F233" i="58" s="1"/>
  <c r="G233" i="58" s="1"/>
  <c r="H233" i="58" s="1"/>
  <c r="I233" i="58" s="1"/>
  <c r="J233" i="58" s="1"/>
  <c r="K233" i="58" s="1"/>
  <c r="L233" i="58" s="1"/>
  <c r="M233" i="58" s="1"/>
  <c r="N233" i="58" s="1"/>
  <c r="O233" i="58" s="1"/>
  <c r="P233" i="58" s="1"/>
  <c r="B233" i="58"/>
  <c r="D232" i="58"/>
  <c r="E232" i="58" s="1"/>
  <c r="F232" i="58" s="1"/>
  <c r="G232" i="58" s="1"/>
  <c r="H232" i="58" s="1"/>
  <c r="I232" i="58" s="1"/>
  <c r="B232" i="58"/>
  <c r="D231" i="58"/>
  <c r="E231" i="58" s="1"/>
  <c r="F231" i="58" s="1"/>
  <c r="G231" i="58" s="1"/>
  <c r="H231" i="58" s="1"/>
  <c r="B231" i="58"/>
  <c r="D230" i="58"/>
  <c r="B230" i="58"/>
  <c r="E229" i="58"/>
  <c r="F229" i="58" s="1"/>
  <c r="D229" i="58"/>
  <c r="D110" i="58" s="1"/>
  <c r="B229" i="58"/>
  <c r="AG227" i="58"/>
  <c r="AF227" i="58"/>
  <c r="AE227" i="58"/>
  <c r="AD227" i="58"/>
  <c r="AC227" i="58"/>
  <c r="AB227" i="58"/>
  <c r="AA227" i="58"/>
  <c r="Z227" i="58"/>
  <c r="Y227" i="58"/>
  <c r="X227" i="58"/>
  <c r="W227" i="58"/>
  <c r="V227" i="58"/>
  <c r="U227" i="58"/>
  <c r="T227" i="58"/>
  <c r="S227" i="58"/>
  <c r="R227" i="58"/>
  <c r="Q227" i="58"/>
  <c r="P227" i="58"/>
  <c r="O227" i="58"/>
  <c r="N227" i="58"/>
  <c r="M227" i="58"/>
  <c r="L227" i="58"/>
  <c r="K227" i="58"/>
  <c r="J227" i="58"/>
  <c r="I227" i="58"/>
  <c r="H227" i="58"/>
  <c r="G227" i="58"/>
  <c r="F227" i="58"/>
  <c r="E227" i="58"/>
  <c r="D227" i="58"/>
  <c r="C227" i="58"/>
  <c r="B227" i="58"/>
  <c r="AI120" i="58"/>
  <c r="AH120" i="58"/>
  <c r="AI119" i="58"/>
  <c r="AH119" i="58"/>
  <c r="AI118" i="58"/>
  <c r="AH118" i="58"/>
  <c r="AI117" i="58"/>
  <c r="AH117" i="58"/>
  <c r="AI116" i="58"/>
  <c r="AH116" i="58"/>
  <c r="AI115" i="58"/>
  <c r="AH115" i="58"/>
  <c r="AI114" i="58"/>
  <c r="AH114" i="58"/>
  <c r="AI113" i="58"/>
  <c r="AH113" i="58"/>
  <c r="AI112" i="58"/>
  <c r="AH112" i="58"/>
  <c r="AI111" i="58"/>
  <c r="AH111" i="58"/>
  <c r="AF110" i="58"/>
  <c r="AE110" i="58"/>
  <c r="AC110" i="58"/>
  <c r="AB110" i="58"/>
  <c r="AA110" i="58"/>
  <c r="Z110" i="58"/>
  <c r="Y110" i="58"/>
  <c r="X110" i="58"/>
  <c r="W110" i="58"/>
  <c r="V110" i="58"/>
  <c r="U110" i="58"/>
  <c r="T110" i="58"/>
  <c r="S110" i="58"/>
  <c r="R110" i="58"/>
  <c r="Q110" i="58"/>
  <c r="C110" i="58"/>
  <c r="AI109" i="58"/>
  <c r="AH109" i="58"/>
  <c r="AI108" i="58"/>
  <c r="AH108" i="58"/>
  <c r="AI107" i="58"/>
  <c r="AH107" i="58"/>
  <c r="AI106" i="58"/>
  <c r="AH106" i="58"/>
  <c r="AI105" i="58"/>
  <c r="AH105" i="58"/>
  <c r="AI104" i="58"/>
  <c r="AH104" i="58"/>
  <c r="AI103" i="58"/>
  <c r="AH103" i="58"/>
  <c r="AI102" i="58"/>
  <c r="AH102" i="58"/>
  <c r="AI101" i="58"/>
  <c r="AH101" i="58"/>
  <c r="AF99" i="58"/>
  <c r="AE99" i="58"/>
  <c r="AD99" i="58"/>
  <c r="AC99" i="58"/>
  <c r="AB99" i="58"/>
  <c r="AA99" i="58"/>
  <c r="Z99" i="58"/>
  <c r="Y99" i="58"/>
  <c r="X99" i="58"/>
  <c r="W99" i="58"/>
  <c r="V99" i="58"/>
  <c r="U99" i="58"/>
  <c r="T99" i="58"/>
  <c r="S99" i="58"/>
  <c r="R99" i="58"/>
  <c r="Q99" i="58"/>
  <c r="P99" i="58"/>
  <c r="O99" i="58"/>
  <c r="N99" i="58"/>
  <c r="M99" i="58"/>
  <c r="L99" i="58"/>
  <c r="K99" i="58"/>
  <c r="J99" i="58"/>
  <c r="I99" i="58"/>
  <c r="H99" i="58"/>
  <c r="G99" i="58"/>
  <c r="F99" i="58"/>
  <c r="E99" i="58"/>
  <c r="C99" i="58"/>
  <c r="AI98" i="58"/>
  <c r="AH98" i="58"/>
  <c r="AI97" i="58"/>
  <c r="AH97" i="58"/>
  <c r="AI96" i="58"/>
  <c r="AH96" i="58"/>
  <c r="AI95" i="58"/>
  <c r="AH95" i="58"/>
  <c r="AI94" i="58"/>
  <c r="AH94" i="58"/>
  <c r="AI93" i="58"/>
  <c r="AH93" i="58"/>
  <c r="AI90" i="58"/>
  <c r="AH90" i="58"/>
  <c r="AI88" i="58"/>
  <c r="AH88" i="58"/>
  <c r="AG88" i="58"/>
  <c r="AI87" i="58"/>
  <c r="AH87" i="58"/>
  <c r="AI86" i="58"/>
  <c r="AH86" i="58"/>
  <c r="AI85" i="58"/>
  <c r="AH85" i="58"/>
  <c r="AG84" i="58"/>
  <c r="AF84" i="58"/>
  <c r="AE5" i="58" s="1"/>
  <c r="AE84" i="58"/>
  <c r="AD5" i="58" s="1"/>
  <c r="AD84" i="58"/>
  <c r="AD100" i="58" s="1"/>
  <c r="AC84" i="58"/>
  <c r="AB84" i="58"/>
  <c r="AB100" i="58" s="1"/>
  <c r="AA84" i="58"/>
  <c r="Z5" i="58" s="1"/>
  <c r="Z84" i="58"/>
  <c r="Z100" i="58" s="1"/>
  <c r="Y84" i="58"/>
  <c r="Y100" i="58" s="1"/>
  <c r="X84" i="58"/>
  <c r="W5" i="58" s="1"/>
  <c r="W84" i="58"/>
  <c r="V5" i="58" s="1"/>
  <c r="V84" i="58"/>
  <c r="V100" i="58" s="1"/>
  <c r="U84" i="58"/>
  <c r="U100" i="58" s="1"/>
  <c r="T84" i="58"/>
  <c r="T100" i="58" s="1"/>
  <c r="S84" i="58"/>
  <c r="R5" i="58" s="1"/>
  <c r="R84" i="58"/>
  <c r="R100" i="58" s="1"/>
  <c r="Q84" i="58"/>
  <c r="Q100" i="58" s="1"/>
  <c r="P84" i="58"/>
  <c r="O5" i="58" s="1"/>
  <c r="O84" i="58"/>
  <c r="N5" i="58" s="1"/>
  <c r="N84" i="58"/>
  <c r="N100" i="58" s="1"/>
  <c r="M84" i="58"/>
  <c r="L84" i="58"/>
  <c r="L100" i="58" s="1"/>
  <c r="K84" i="58"/>
  <c r="J84" i="58"/>
  <c r="J100" i="58" s="1"/>
  <c r="I84" i="58"/>
  <c r="I100" i="58" s="1"/>
  <c r="H84" i="58"/>
  <c r="G5" i="58" s="1"/>
  <c r="G84" i="58"/>
  <c r="F5" i="58" s="1"/>
  <c r="F84" i="58"/>
  <c r="F100" i="58" s="1"/>
  <c r="E84" i="58"/>
  <c r="E100" i="58" s="1"/>
  <c r="C84" i="58"/>
  <c r="C100" i="58" s="1"/>
  <c r="AI83" i="58"/>
  <c r="AH83" i="58"/>
  <c r="AI82" i="58"/>
  <c r="AH82" i="58"/>
  <c r="AI81" i="58"/>
  <c r="AH81" i="58"/>
  <c r="AI80" i="58"/>
  <c r="AH80" i="58"/>
  <c r="AI79" i="58"/>
  <c r="AH79" i="58"/>
  <c r="AI78" i="58"/>
  <c r="AH78" i="58"/>
  <c r="AI77" i="58"/>
  <c r="AH77" i="58"/>
  <c r="AI76" i="58"/>
  <c r="AH76" i="58"/>
  <c r="AI75" i="58"/>
  <c r="AH75" i="58"/>
  <c r="AI74" i="58"/>
  <c r="AH74" i="58"/>
  <c r="AI73" i="58"/>
  <c r="AH73" i="58"/>
  <c r="AG72" i="58"/>
  <c r="AF72" i="58"/>
  <c r="AE72" i="58"/>
  <c r="AD72" i="58"/>
  <c r="AC72" i="58"/>
  <c r="AB72" i="58"/>
  <c r="AA72" i="58"/>
  <c r="Z72" i="58"/>
  <c r="Y72" i="58"/>
  <c r="X72" i="58"/>
  <c r="W72" i="58"/>
  <c r="V72" i="58"/>
  <c r="U72" i="58"/>
  <c r="T72" i="58"/>
  <c r="S72" i="58"/>
  <c r="R72" i="58"/>
  <c r="Q72" i="58"/>
  <c r="P72" i="58"/>
  <c r="O72" i="58"/>
  <c r="N72" i="58"/>
  <c r="M72" i="58"/>
  <c r="L72" i="58"/>
  <c r="AI71" i="58"/>
  <c r="AH71" i="58"/>
  <c r="AI70" i="58"/>
  <c r="AH70" i="58"/>
  <c r="AI69" i="58"/>
  <c r="AH69" i="58"/>
  <c r="AF68" i="58"/>
  <c r="AE68" i="58"/>
  <c r="AD68" i="58"/>
  <c r="AC68" i="58"/>
  <c r="AB68" i="58"/>
  <c r="AA68" i="58"/>
  <c r="Z68" i="58"/>
  <c r="Y68" i="58"/>
  <c r="X68" i="58"/>
  <c r="W68" i="58"/>
  <c r="V68" i="58"/>
  <c r="U68" i="58"/>
  <c r="T68" i="58"/>
  <c r="S68" i="58"/>
  <c r="R68" i="58"/>
  <c r="Q68" i="58"/>
  <c r="P68" i="58"/>
  <c r="O68" i="58"/>
  <c r="N68" i="58"/>
  <c r="M68" i="58"/>
  <c r="L68" i="58"/>
  <c r="K68" i="58"/>
  <c r="J68" i="58"/>
  <c r="I68" i="58"/>
  <c r="H68" i="58"/>
  <c r="G68" i="58"/>
  <c r="F68" i="58"/>
  <c r="E68" i="58"/>
  <c r="C68" i="58"/>
  <c r="AI67" i="58"/>
  <c r="AH67" i="58"/>
  <c r="AG67" i="58"/>
  <c r="AG68" i="58" s="1"/>
  <c r="AG3" i="58" s="1"/>
  <c r="AI66" i="58"/>
  <c r="AH66" i="58"/>
  <c r="AI65" i="58"/>
  <c r="AH65" i="58"/>
  <c r="AI64" i="58"/>
  <c r="AH64" i="58"/>
  <c r="AI63" i="58"/>
  <c r="AH63" i="58"/>
  <c r="AI62" i="58"/>
  <c r="AH62" i="58"/>
  <c r="AI61" i="58"/>
  <c r="AH61" i="58"/>
  <c r="AI60" i="58"/>
  <c r="AH60" i="58"/>
  <c r="AI59" i="58"/>
  <c r="AH59" i="58"/>
  <c r="AI58" i="58"/>
  <c r="AH58" i="58"/>
  <c r="AI57" i="58"/>
  <c r="AH57" i="58"/>
  <c r="AI56" i="58"/>
  <c r="AH56" i="58"/>
  <c r="AI55" i="58"/>
  <c r="AH55" i="58"/>
  <c r="AG54" i="58"/>
  <c r="AF54" i="58"/>
  <c r="AE54" i="58"/>
  <c r="AD54" i="58"/>
  <c r="AC54" i="58"/>
  <c r="AB54" i="58"/>
  <c r="AA54" i="58"/>
  <c r="Z54" i="58"/>
  <c r="Y54" i="58"/>
  <c r="X54" i="58"/>
  <c r="W54" i="58"/>
  <c r="V54" i="58"/>
  <c r="U54" i="58"/>
  <c r="T54" i="58"/>
  <c r="S54" i="58"/>
  <c r="R54" i="58"/>
  <c r="Q54" i="58"/>
  <c r="O54" i="58"/>
  <c r="N54" i="58"/>
  <c r="M54" i="58"/>
  <c r="L54" i="58"/>
  <c r="K54" i="58"/>
  <c r="J54" i="58"/>
  <c r="I54" i="58"/>
  <c r="H54" i="58"/>
  <c r="G54" i="58"/>
  <c r="F54" i="58"/>
  <c r="E54" i="58"/>
  <c r="C54" i="58"/>
  <c r="AI53" i="58"/>
  <c r="AH53" i="58"/>
  <c r="AI52" i="58"/>
  <c r="AH52" i="58"/>
  <c r="AI51" i="58"/>
  <c r="AH51" i="58"/>
  <c r="AG50" i="58"/>
  <c r="AF50" i="58"/>
  <c r="AE50" i="58"/>
  <c r="AD50" i="58"/>
  <c r="AC50" i="58"/>
  <c r="AB50" i="58"/>
  <c r="AA50" i="58"/>
  <c r="Z50" i="58"/>
  <c r="Y50" i="58"/>
  <c r="X50" i="58"/>
  <c r="W50" i="58"/>
  <c r="V50" i="58"/>
  <c r="U50" i="58"/>
  <c r="T50" i="58"/>
  <c r="S50" i="58"/>
  <c r="R50" i="58"/>
  <c r="Q50" i="58"/>
  <c r="P50" i="58"/>
  <c r="O50" i="58"/>
  <c r="O89" i="58" s="1"/>
  <c r="O91" i="58" s="1"/>
  <c r="N50" i="58"/>
  <c r="M50" i="58"/>
  <c r="L50" i="58"/>
  <c r="K50" i="58"/>
  <c r="J50" i="58"/>
  <c r="I50" i="58"/>
  <c r="H50" i="58"/>
  <c r="G50" i="58"/>
  <c r="F50" i="58"/>
  <c r="E50" i="58"/>
  <c r="AI49" i="58"/>
  <c r="AI48" i="58"/>
  <c r="AH48" i="58"/>
  <c r="AI47" i="58"/>
  <c r="AH47" i="58"/>
  <c r="AI46" i="58"/>
  <c r="AH46" i="58"/>
  <c r="AI45" i="58"/>
  <c r="AH45" i="58"/>
  <c r="AI44" i="58"/>
  <c r="AH44" i="58"/>
  <c r="AI43" i="58"/>
  <c r="AH43" i="58"/>
  <c r="AI42" i="58"/>
  <c r="AH42" i="58"/>
  <c r="AI41" i="58"/>
  <c r="AH41" i="58"/>
  <c r="AI40" i="58"/>
  <c r="AH40" i="58"/>
  <c r="AI39" i="58"/>
  <c r="AH39" i="58"/>
  <c r="AI38" i="58"/>
  <c r="AH38" i="58"/>
  <c r="AI37" i="58"/>
  <c r="AH37" i="58"/>
  <c r="AI36" i="58"/>
  <c r="AH36" i="58"/>
  <c r="AI35" i="58"/>
  <c r="AH35" i="58"/>
  <c r="AI34" i="58"/>
  <c r="AH34" i="58"/>
  <c r="AI33" i="58"/>
  <c r="AH33" i="58"/>
  <c r="AI32" i="58"/>
  <c r="AH32" i="58"/>
  <c r="AI31" i="58"/>
  <c r="AH31" i="58"/>
  <c r="AI30" i="58"/>
  <c r="AH30" i="58"/>
  <c r="AI29" i="58"/>
  <c r="AH29" i="58"/>
  <c r="AI28" i="58"/>
  <c r="AH28" i="58"/>
  <c r="AI27" i="58"/>
  <c r="AH27" i="58"/>
  <c r="AI26" i="58"/>
  <c r="AH26" i="58"/>
  <c r="AI25" i="58"/>
  <c r="AH25" i="58"/>
  <c r="AI24" i="58"/>
  <c r="AH24" i="58"/>
  <c r="AI23" i="58"/>
  <c r="AH23" i="58"/>
  <c r="AI22" i="58"/>
  <c r="AH22" i="58"/>
  <c r="AI21" i="58"/>
  <c r="AH21" i="58"/>
  <c r="AI20" i="58"/>
  <c r="AH20" i="58"/>
  <c r="AI19" i="58"/>
  <c r="AH19" i="58"/>
  <c r="AI18" i="58"/>
  <c r="AH18" i="58"/>
  <c r="AI17" i="58"/>
  <c r="AH17" i="58"/>
  <c r="AI16" i="58"/>
  <c r="AH16" i="58"/>
  <c r="AI15" i="58"/>
  <c r="AH15" i="58"/>
  <c r="AI14" i="58"/>
  <c r="AH14" i="58"/>
  <c r="AI13" i="58"/>
  <c r="AH13" i="58"/>
  <c r="AI12" i="58"/>
  <c r="AH12" i="58"/>
  <c r="AI11" i="58"/>
  <c r="AH11" i="58"/>
  <c r="AF5" i="58"/>
  <c r="AG4" i="58"/>
  <c r="K4" i="58"/>
  <c r="E4" i="58"/>
  <c r="H4" i="58" s="1"/>
  <c r="B4" i="58"/>
  <c r="S246" i="58" s="1"/>
  <c r="AF113" i="57"/>
  <c r="AF50" i="57"/>
  <c r="AE50" i="57"/>
  <c r="AD113" i="57"/>
  <c r="AD49" i="57"/>
  <c r="AC113" i="57"/>
  <c r="AC49" i="57"/>
  <c r="AB113" i="57"/>
  <c r="AB49" i="57"/>
  <c r="AF89" i="58" l="1"/>
  <c r="AF91" i="58" s="1"/>
  <c r="AE89" i="58"/>
  <c r="AE91" i="58" s="1"/>
  <c r="AW249" i="58" s="1"/>
  <c r="AC100" i="58"/>
  <c r="AB89" i="58"/>
  <c r="AB91" i="58" s="1"/>
  <c r="AA89" i="58"/>
  <c r="AA91" i="58" s="1"/>
  <c r="Y5" i="58"/>
  <c r="X89" i="58"/>
  <c r="X91" i="58" s="1"/>
  <c r="X7" i="58" s="1"/>
  <c r="W89" i="58"/>
  <c r="W91" i="58" s="1"/>
  <c r="W7" i="58" s="1"/>
  <c r="S5" i="58"/>
  <c r="T89" i="58"/>
  <c r="T91" i="58" s="1"/>
  <c r="AL249" i="58" s="1"/>
  <c r="AI72" i="58"/>
  <c r="S89" i="58"/>
  <c r="S91" i="58" s="1"/>
  <c r="S92" i="58" s="1"/>
  <c r="Q5" i="58"/>
  <c r="AE100" i="58"/>
  <c r="AC89" i="58"/>
  <c r="AC91" i="58" s="1"/>
  <c r="AU249" i="58" s="1"/>
  <c r="V89" i="58"/>
  <c r="V91" i="58" s="1"/>
  <c r="V92" i="58" s="1"/>
  <c r="AD89" i="58"/>
  <c r="AD91" i="58" s="1"/>
  <c r="AV249" i="58" s="1"/>
  <c r="D92" i="58"/>
  <c r="AA5" i="58"/>
  <c r="U89" i="58"/>
  <c r="U91" i="58" s="1"/>
  <c r="U92" i="58" s="1"/>
  <c r="S100" i="58"/>
  <c r="AA100" i="58"/>
  <c r="D235" i="58"/>
  <c r="Y89" i="58"/>
  <c r="Y91" i="58" s="1"/>
  <c r="Y92" i="58" s="1"/>
  <c r="X100" i="58"/>
  <c r="AF100" i="58"/>
  <c r="AG89" i="58"/>
  <c r="X5" i="58"/>
  <c r="Z89" i="58"/>
  <c r="Z91" i="58" s="1"/>
  <c r="Z92" i="58" s="1"/>
  <c r="W100" i="58"/>
  <c r="Q89" i="58"/>
  <c r="Q91" i="58" s="1"/>
  <c r="Q7" i="58" s="1"/>
  <c r="P5" i="58"/>
  <c r="R89" i="58"/>
  <c r="R91" i="58" s="1"/>
  <c r="R92" i="58" s="1"/>
  <c r="P100" i="58"/>
  <c r="P89" i="58"/>
  <c r="P91" i="58" s="1"/>
  <c r="P7" i="58" s="1"/>
  <c r="O100" i="58"/>
  <c r="AI54" i="58"/>
  <c r="N89" i="58"/>
  <c r="N91" i="58" s="1"/>
  <c r="AF249" i="58" s="1"/>
  <c r="M100" i="58"/>
  <c r="M89" i="58"/>
  <c r="M91" i="58" s="1"/>
  <c r="M92" i="58" s="1"/>
  <c r="K5" i="58"/>
  <c r="L89" i="58"/>
  <c r="L91" i="58" s="1"/>
  <c r="L92" i="58" s="1"/>
  <c r="K100" i="58"/>
  <c r="J5" i="58"/>
  <c r="K89" i="58"/>
  <c r="K91" i="58" s="1"/>
  <c r="K92" i="58" s="1"/>
  <c r="I5" i="58"/>
  <c r="J89" i="58"/>
  <c r="J91" i="58" s="1"/>
  <c r="J7" i="58" s="1"/>
  <c r="H5" i="58"/>
  <c r="I89" i="58"/>
  <c r="I91" i="58" s="1"/>
  <c r="I92" i="58" s="1"/>
  <c r="H89" i="58"/>
  <c r="H91" i="58" s="1"/>
  <c r="H92" i="58" s="1"/>
  <c r="G100" i="58"/>
  <c r="G89" i="58"/>
  <c r="G91" i="58" s="1"/>
  <c r="AI68" i="58"/>
  <c r="F89" i="58"/>
  <c r="F91" i="58" s="1"/>
  <c r="F92" i="58" s="1"/>
  <c r="E89" i="58"/>
  <c r="E91" i="58" s="1"/>
  <c r="E7" i="58" s="1"/>
  <c r="C5" i="58"/>
  <c r="D100" i="58"/>
  <c r="AI99" i="58"/>
  <c r="AH99" i="58"/>
  <c r="B5" i="58"/>
  <c r="AI84" i="58"/>
  <c r="C89" i="58"/>
  <c r="C91" i="58" s="1"/>
  <c r="C92" i="58" s="1"/>
  <c r="AH49" i="58"/>
  <c r="D246" i="58"/>
  <c r="AC7" i="58"/>
  <c r="AC92" i="58"/>
  <c r="AB92" i="58"/>
  <c r="AB7" i="58"/>
  <c r="AT249" i="58"/>
  <c r="AA92" i="58"/>
  <c r="AA7" i="58"/>
  <c r="AS249" i="58"/>
  <c r="D7" i="58"/>
  <c r="V249" i="58"/>
  <c r="AF7" i="58"/>
  <c r="AX249" i="58"/>
  <c r="AF92" i="58"/>
  <c r="G229" i="58"/>
  <c r="AG249" i="58"/>
  <c r="O7" i="58"/>
  <c r="O92" i="58"/>
  <c r="J232" i="58"/>
  <c r="K232" i="58" s="1"/>
  <c r="L232" i="58" s="1"/>
  <c r="M232" i="58" s="1"/>
  <c r="N232" i="58" s="1"/>
  <c r="O232" i="58" s="1"/>
  <c r="P232" i="58" s="1"/>
  <c r="AE7" i="58"/>
  <c r="AE92" i="58"/>
  <c r="AG91" i="58"/>
  <c r="AH54" i="58"/>
  <c r="H100" i="58"/>
  <c r="E234" i="58"/>
  <c r="AG2" i="58"/>
  <c r="AG6" i="58" s="1"/>
  <c r="AI50" i="58"/>
  <c r="D5" i="58"/>
  <c r="L5" i="58"/>
  <c r="T5" i="58"/>
  <c r="AB5" i="58"/>
  <c r="E5" i="58"/>
  <c r="M5" i="58"/>
  <c r="U5" i="58"/>
  <c r="AC5" i="58"/>
  <c r="AH72" i="58"/>
  <c r="AH84" i="58"/>
  <c r="AH68" i="58"/>
  <c r="B235" i="58"/>
  <c r="AH50" i="58"/>
  <c r="E230" i="58"/>
  <c r="AD7" i="58" l="1"/>
  <c r="AD92" i="58"/>
  <c r="AR249" i="58"/>
  <c r="Z7" i="58"/>
  <c r="AP249" i="58"/>
  <c r="X92" i="58"/>
  <c r="W92" i="58"/>
  <c r="AO249" i="58"/>
  <c r="V7" i="58"/>
  <c r="AN249" i="58"/>
  <c r="AM249" i="58"/>
  <c r="T7" i="58"/>
  <c r="T92" i="58"/>
  <c r="AK249" i="58"/>
  <c r="S7" i="58"/>
  <c r="Q92" i="58"/>
  <c r="Y7" i="58"/>
  <c r="U7" i="58"/>
  <c r="AQ249" i="58"/>
  <c r="M7" i="58"/>
  <c r="AI249" i="58"/>
  <c r="AJ249" i="58"/>
  <c r="R7" i="58"/>
  <c r="P92" i="58"/>
  <c r="AE249" i="58"/>
  <c r="AH249" i="58"/>
  <c r="N92" i="58"/>
  <c r="N7" i="58"/>
  <c r="AD249" i="58"/>
  <c r="L7" i="58"/>
  <c r="AC249" i="58"/>
  <c r="K7" i="58"/>
  <c r="J92" i="58"/>
  <c r="AB249" i="58"/>
  <c r="I7" i="58"/>
  <c r="AA249" i="58"/>
  <c r="X249" i="58"/>
  <c r="Z249" i="58"/>
  <c r="H7" i="58"/>
  <c r="C244" i="58"/>
  <c r="F7" i="58"/>
  <c r="AI89" i="58"/>
  <c r="Y249" i="58"/>
  <c r="G92" i="58"/>
  <c r="B244" i="58"/>
  <c r="G7" i="58"/>
  <c r="E92" i="58"/>
  <c r="W249" i="58"/>
  <c r="U249" i="58"/>
  <c r="C7" i="58"/>
  <c r="AH89" i="58"/>
  <c r="E235" i="58"/>
  <c r="F230" i="58"/>
  <c r="H229" i="58"/>
  <c r="AI91" i="58"/>
  <c r="AH91" i="58"/>
  <c r="B7" i="58"/>
  <c r="T249" i="58"/>
  <c r="D270" i="58"/>
  <c r="E110" i="58"/>
  <c r="F234" i="58"/>
  <c r="AI100" i="58"/>
  <c r="AH100" i="58"/>
  <c r="K6" i="58" l="1"/>
  <c r="A7" i="58"/>
  <c r="AI92" i="58"/>
  <c r="AH92" i="58"/>
  <c r="E270" i="58"/>
  <c r="G234" i="58"/>
  <c r="F110" i="58"/>
  <c r="I229" i="58"/>
  <c r="G230" i="58"/>
  <c r="F235" i="58"/>
  <c r="J229" i="58" l="1"/>
  <c r="F270" i="58"/>
  <c r="H234" i="58"/>
  <c r="G110" i="58"/>
  <c r="H230" i="58"/>
  <c r="G235" i="58"/>
  <c r="G270" i="58" l="1"/>
  <c r="I234" i="58"/>
  <c r="H110" i="58"/>
  <c r="K229" i="58"/>
  <c r="I230" i="58"/>
  <c r="H235" i="58"/>
  <c r="L229" i="58" l="1"/>
  <c r="H270" i="58"/>
  <c r="J234" i="58"/>
  <c r="I110" i="58"/>
  <c r="J230" i="58"/>
  <c r="K230" i="58" l="1"/>
  <c r="K234" i="58"/>
  <c r="I270" i="58"/>
  <c r="J110" i="58"/>
  <c r="M229" i="58"/>
  <c r="L234" i="58" l="1"/>
  <c r="J270" i="58"/>
  <c r="K110" i="58"/>
  <c r="N229" i="58"/>
  <c r="L230" i="58"/>
  <c r="M230" i="58" l="1"/>
  <c r="O229" i="58"/>
  <c r="K270" i="58"/>
  <c r="M234" i="58"/>
  <c r="L110" i="58"/>
  <c r="L270" i="58" l="1"/>
  <c r="N234" i="58"/>
  <c r="M110" i="58"/>
  <c r="P229" i="58"/>
  <c r="N230" i="58"/>
  <c r="O230" i="58" l="1"/>
  <c r="M270" i="58"/>
  <c r="O234" i="58"/>
  <c r="N110" i="58"/>
  <c r="N270" i="58" l="1"/>
  <c r="P234" i="58"/>
  <c r="O270" i="58" s="1"/>
  <c r="O110" i="58"/>
  <c r="P230" i="58"/>
  <c r="AI110" i="58" l="1"/>
  <c r="AH110" i="58"/>
  <c r="Y49" i="57" l="1"/>
  <c r="X49" i="57"/>
  <c r="W49" i="57"/>
  <c r="V49" i="57"/>
  <c r="U49" i="57"/>
  <c r="T49" i="57"/>
  <c r="S49" i="57"/>
  <c r="R49" i="57" l="1"/>
  <c r="Q49" i="57" l="1"/>
  <c r="P49" i="57"/>
  <c r="O49" i="57"/>
  <c r="N49" i="57" l="1"/>
  <c r="M84" i="57" l="1"/>
  <c r="L117" i="57"/>
  <c r="K50" i="57"/>
  <c r="K54" i="57"/>
  <c r="AF274" i="57" l="1"/>
  <c r="AE274" i="57"/>
  <c r="AD274" i="57"/>
  <c r="AC274" i="57"/>
  <c r="AB274" i="57"/>
  <c r="AA274" i="57"/>
  <c r="Z274" i="57"/>
  <c r="Y274" i="57"/>
  <c r="X274" i="57"/>
  <c r="W274" i="57"/>
  <c r="V274" i="57"/>
  <c r="U274" i="57"/>
  <c r="T274" i="57"/>
  <c r="S274" i="57"/>
  <c r="R274" i="57"/>
  <c r="Q274" i="57"/>
  <c r="P274" i="57"/>
  <c r="O274" i="57"/>
  <c r="N274" i="57"/>
  <c r="M274" i="57"/>
  <c r="L274" i="57"/>
  <c r="K274" i="57"/>
  <c r="J274" i="57"/>
  <c r="I274" i="57"/>
  <c r="H274" i="57"/>
  <c r="G274" i="57"/>
  <c r="F274" i="57"/>
  <c r="E274" i="57"/>
  <c r="D274" i="57"/>
  <c r="C274" i="57"/>
  <c r="B274" i="57"/>
  <c r="A274" i="57"/>
  <c r="AF273" i="57"/>
  <c r="AE273" i="57"/>
  <c r="AD273" i="57"/>
  <c r="AC273" i="57"/>
  <c r="AB273" i="57"/>
  <c r="AA273" i="57"/>
  <c r="Z273" i="57"/>
  <c r="Y273" i="57"/>
  <c r="X273" i="57"/>
  <c r="W273" i="57"/>
  <c r="V273" i="57"/>
  <c r="U273" i="57"/>
  <c r="T273" i="57"/>
  <c r="S273" i="57"/>
  <c r="R273" i="57"/>
  <c r="Q273" i="57"/>
  <c r="P273" i="57"/>
  <c r="O273" i="57"/>
  <c r="N273" i="57"/>
  <c r="M273" i="57"/>
  <c r="L273" i="57"/>
  <c r="K273" i="57"/>
  <c r="J273" i="57"/>
  <c r="I273" i="57"/>
  <c r="H273" i="57"/>
  <c r="G273" i="57"/>
  <c r="F273" i="57"/>
  <c r="E273" i="57"/>
  <c r="D273" i="57"/>
  <c r="C273" i="57"/>
  <c r="B273" i="57"/>
  <c r="A273" i="57"/>
  <c r="AF272" i="57"/>
  <c r="AE272" i="57"/>
  <c r="AD272" i="57"/>
  <c r="AC272" i="57"/>
  <c r="AB272" i="57"/>
  <c r="AA272" i="57"/>
  <c r="Z272" i="57"/>
  <c r="Y272" i="57"/>
  <c r="X272" i="57"/>
  <c r="W272" i="57"/>
  <c r="V272" i="57"/>
  <c r="U272" i="57"/>
  <c r="T272" i="57"/>
  <c r="S272" i="57"/>
  <c r="R272" i="57"/>
  <c r="Q272" i="57"/>
  <c r="P272" i="57"/>
  <c r="O272" i="57"/>
  <c r="N272" i="57"/>
  <c r="M272" i="57"/>
  <c r="L272" i="57"/>
  <c r="K272" i="57"/>
  <c r="J272" i="57"/>
  <c r="I272" i="57"/>
  <c r="H272" i="57"/>
  <c r="G272" i="57"/>
  <c r="F272" i="57"/>
  <c r="E272" i="57"/>
  <c r="D272" i="57"/>
  <c r="C272" i="57"/>
  <c r="B272" i="57"/>
  <c r="A272" i="57"/>
  <c r="AF271" i="57"/>
  <c r="AE271" i="57"/>
  <c r="AD271" i="57"/>
  <c r="AC271" i="57"/>
  <c r="AB271" i="57"/>
  <c r="AA271" i="57"/>
  <c r="Z271" i="57"/>
  <c r="Y271" i="57"/>
  <c r="X271" i="57"/>
  <c r="W271" i="57"/>
  <c r="V271" i="57"/>
  <c r="U271" i="57"/>
  <c r="T271" i="57"/>
  <c r="S271" i="57"/>
  <c r="R271" i="57"/>
  <c r="Q271" i="57"/>
  <c r="P271" i="57"/>
  <c r="O271" i="57"/>
  <c r="N271" i="57"/>
  <c r="M271" i="57"/>
  <c r="L271" i="57"/>
  <c r="K271" i="57"/>
  <c r="J271" i="57"/>
  <c r="I271" i="57"/>
  <c r="H271" i="57"/>
  <c r="G271" i="57"/>
  <c r="F271" i="57"/>
  <c r="E271" i="57"/>
  <c r="D271" i="57"/>
  <c r="C271" i="57"/>
  <c r="B271" i="57"/>
  <c r="A271" i="57"/>
  <c r="AE270" i="57"/>
  <c r="AD270" i="57"/>
  <c r="AC270" i="57"/>
  <c r="AB270" i="57"/>
  <c r="AA270" i="57"/>
  <c r="Z270" i="57"/>
  <c r="Y270" i="57"/>
  <c r="X270" i="57"/>
  <c r="W270" i="57"/>
  <c r="V270" i="57"/>
  <c r="U270" i="57"/>
  <c r="T270" i="57"/>
  <c r="S270" i="57"/>
  <c r="R270" i="57"/>
  <c r="Q270" i="57"/>
  <c r="P270" i="57"/>
  <c r="B270" i="57"/>
  <c r="S245" i="57"/>
  <c r="AG235" i="57"/>
  <c r="AF235" i="57"/>
  <c r="AE235" i="57"/>
  <c r="AD235" i="57"/>
  <c r="AC235" i="57"/>
  <c r="AB235" i="57"/>
  <c r="AA235" i="57"/>
  <c r="Z235" i="57"/>
  <c r="Y235" i="57"/>
  <c r="X235" i="57"/>
  <c r="W235" i="57"/>
  <c r="V235" i="57"/>
  <c r="U235" i="57"/>
  <c r="T235" i="57"/>
  <c r="S235" i="57"/>
  <c r="R235" i="57"/>
  <c r="Q235" i="57"/>
  <c r="C235" i="57"/>
  <c r="D234" i="57"/>
  <c r="C270" i="57" s="1"/>
  <c r="B234" i="57"/>
  <c r="AF270" i="57" s="1"/>
  <c r="D233" i="57"/>
  <c r="E233" i="57" s="1"/>
  <c r="F233" i="57" s="1"/>
  <c r="G233" i="57" s="1"/>
  <c r="H233" i="57" s="1"/>
  <c r="I233" i="57" s="1"/>
  <c r="J233" i="57" s="1"/>
  <c r="K233" i="57" s="1"/>
  <c r="L233" i="57" s="1"/>
  <c r="M233" i="57" s="1"/>
  <c r="N233" i="57" s="1"/>
  <c r="O233" i="57" s="1"/>
  <c r="P233" i="57" s="1"/>
  <c r="B233" i="57"/>
  <c r="D232" i="57"/>
  <c r="E232" i="57" s="1"/>
  <c r="F232" i="57" s="1"/>
  <c r="G232" i="57" s="1"/>
  <c r="H232" i="57" s="1"/>
  <c r="I232" i="57" s="1"/>
  <c r="B232" i="57"/>
  <c r="F231" i="57"/>
  <c r="G231" i="57" s="1"/>
  <c r="H231" i="57" s="1"/>
  <c r="E231" i="57"/>
  <c r="D231" i="57"/>
  <c r="B231" i="57"/>
  <c r="D230" i="57"/>
  <c r="E230" i="57" s="1"/>
  <c r="F230" i="57" s="1"/>
  <c r="G230" i="57" s="1"/>
  <c r="H230" i="57" s="1"/>
  <c r="I230" i="57" s="1"/>
  <c r="J230" i="57" s="1"/>
  <c r="K230" i="57" s="1"/>
  <c r="L230" i="57" s="1"/>
  <c r="M230" i="57" s="1"/>
  <c r="N230" i="57" s="1"/>
  <c r="O230" i="57" s="1"/>
  <c r="P230" i="57" s="1"/>
  <c r="B230" i="57"/>
  <c r="B235" i="57" s="1"/>
  <c r="D229" i="57"/>
  <c r="D235" i="57" s="1"/>
  <c r="B229" i="57"/>
  <c r="AG227" i="57"/>
  <c r="AF227" i="57"/>
  <c r="AE227" i="57"/>
  <c r="AD227" i="57"/>
  <c r="AC227" i="57"/>
  <c r="AB227" i="57"/>
  <c r="AA227" i="57"/>
  <c r="Z227" i="57"/>
  <c r="Y227" i="57"/>
  <c r="X227" i="57"/>
  <c r="W227" i="57"/>
  <c r="V227" i="57"/>
  <c r="U227" i="57"/>
  <c r="T227" i="57"/>
  <c r="S227" i="57"/>
  <c r="R227" i="57"/>
  <c r="Q227" i="57"/>
  <c r="P227" i="57"/>
  <c r="O227" i="57"/>
  <c r="N227" i="57"/>
  <c r="M227" i="57"/>
  <c r="L227" i="57"/>
  <c r="K227" i="57"/>
  <c r="J227" i="57"/>
  <c r="I227" i="57"/>
  <c r="H227" i="57"/>
  <c r="G227" i="57"/>
  <c r="F227" i="57"/>
  <c r="E227" i="57"/>
  <c r="D227" i="57"/>
  <c r="C227" i="57"/>
  <c r="B227" i="57"/>
  <c r="AI120" i="57"/>
  <c r="AH120" i="57"/>
  <c r="AI119" i="57"/>
  <c r="AH119" i="57"/>
  <c r="AI118" i="57"/>
  <c r="AH118" i="57"/>
  <c r="AI117" i="57"/>
  <c r="AH117" i="57"/>
  <c r="AI116" i="57"/>
  <c r="AH116" i="57"/>
  <c r="AI115" i="57"/>
  <c r="AH115" i="57"/>
  <c r="AI114" i="57"/>
  <c r="AH114" i="57"/>
  <c r="AI113" i="57"/>
  <c r="AH113" i="57"/>
  <c r="AI112" i="57"/>
  <c r="AH112" i="57"/>
  <c r="AI111" i="57"/>
  <c r="AH111" i="57"/>
  <c r="AF110" i="57"/>
  <c r="AE110" i="57"/>
  <c r="AC110" i="57"/>
  <c r="AB110" i="57"/>
  <c r="AA110" i="57"/>
  <c r="Z110" i="57"/>
  <c r="Y110" i="57"/>
  <c r="X110" i="57"/>
  <c r="W110" i="57"/>
  <c r="V110" i="57"/>
  <c r="U110" i="57"/>
  <c r="T110" i="57"/>
  <c r="S110" i="57"/>
  <c r="R110" i="57"/>
  <c r="Q110" i="57"/>
  <c r="D110" i="57"/>
  <c r="C110" i="57"/>
  <c r="B110" i="57"/>
  <c r="AI109" i="57"/>
  <c r="AH109" i="57"/>
  <c r="AI108" i="57"/>
  <c r="AH108" i="57"/>
  <c r="AI107" i="57"/>
  <c r="AH107" i="57"/>
  <c r="AI106" i="57"/>
  <c r="AH106" i="57"/>
  <c r="AI105" i="57"/>
  <c r="AH105" i="57"/>
  <c r="AI104" i="57"/>
  <c r="AH104" i="57"/>
  <c r="AI103" i="57"/>
  <c r="AH103" i="57"/>
  <c r="AI102" i="57"/>
  <c r="AH102" i="57"/>
  <c r="AI101" i="57"/>
  <c r="AH101" i="57"/>
  <c r="AF99" i="57"/>
  <c r="AE99" i="57"/>
  <c r="AD99" i="57"/>
  <c r="AC99" i="57"/>
  <c r="AB99" i="57"/>
  <c r="AA99" i="57"/>
  <c r="Z99" i="57"/>
  <c r="Y99" i="57"/>
  <c r="X99" i="57"/>
  <c r="W99" i="57"/>
  <c r="V99" i="57"/>
  <c r="U99" i="57"/>
  <c r="T99" i="57"/>
  <c r="S99" i="57"/>
  <c r="R99" i="57"/>
  <c r="Q99" i="57"/>
  <c r="P99" i="57"/>
  <c r="O99" i="57"/>
  <c r="N99" i="57"/>
  <c r="M99" i="57"/>
  <c r="L99" i="57"/>
  <c r="K99" i="57"/>
  <c r="J99" i="57"/>
  <c r="I99" i="57"/>
  <c r="H99" i="57"/>
  <c r="G99" i="57"/>
  <c r="F99" i="57"/>
  <c r="E99" i="57"/>
  <c r="D99" i="57"/>
  <c r="C99" i="57"/>
  <c r="B99" i="57"/>
  <c r="AI98" i="57"/>
  <c r="AH98" i="57"/>
  <c r="AI97" i="57"/>
  <c r="AH97" i="57"/>
  <c r="AI96" i="57"/>
  <c r="AH96" i="57"/>
  <c r="AI95" i="57"/>
  <c r="AH95" i="57"/>
  <c r="AI94" i="57"/>
  <c r="AH94" i="57"/>
  <c r="AI93" i="57"/>
  <c r="AH93" i="57"/>
  <c r="AI90" i="57"/>
  <c r="AH90" i="57"/>
  <c r="AI88" i="57"/>
  <c r="AH88" i="57"/>
  <c r="AG88" i="57"/>
  <c r="AI87" i="57"/>
  <c r="AH87" i="57"/>
  <c r="AI86" i="57"/>
  <c r="AH86" i="57"/>
  <c r="AI85" i="57"/>
  <c r="AH85" i="57"/>
  <c r="AG84" i="57"/>
  <c r="AF84" i="57"/>
  <c r="AE5" i="57" s="1"/>
  <c r="AE84" i="57"/>
  <c r="AE100" i="57" s="1"/>
  <c r="AD84" i="57"/>
  <c r="AD100" i="57" s="1"/>
  <c r="AC84" i="57"/>
  <c r="AC100" i="57" s="1"/>
  <c r="AB84" i="57"/>
  <c r="AB100" i="57" s="1"/>
  <c r="AA84" i="57"/>
  <c r="AA100" i="57" s="1"/>
  <c r="Z84" i="57"/>
  <c r="Z100" i="57" s="1"/>
  <c r="Y84" i="57"/>
  <c r="Y100" i="57" s="1"/>
  <c r="X84" i="57"/>
  <c r="W5" i="57" s="1"/>
  <c r="W84" i="57"/>
  <c r="W100" i="57" s="1"/>
  <c r="V84" i="57"/>
  <c r="V100" i="57" s="1"/>
  <c r="U84" i="57"/>
  <c r="U100" i="57" s="1"/>
  <c r="T84" i="57"/>
  <c r="T100" i="57" s="1"/>
  <c r="S84" i="57"/>
  <c r="S100" i="57" s="1"/>
  <c r="R84" i="57"/>
  <c r="Q84" i="57"/>
  <c r="P5" i="57" s="1"/>
  <c r="P84" i="57"/>
  <c r="O5" i="57" s="1"/>
  <c r="O84" i="57"/>
  <c r="N5" i="57" s="1"/>
  <c r="N84" i="57"/>
  <c r="N100" i="57" s="1"/>
  <c r="M100" i="57"/>
  <c r="L84" i="57"/>
  <c r="L100" i="57" s="1"/>
  <c r="K84" i="57"/>
  <c r="K100" i="57" s="1"/>
  <c r="J84" i="57"/>
  <c r="J100" i="57" s="1"/>
  <c r="I84" i="57"/>
  <c r="I100" i="57" s="1"/>
  <c r="H84" i="57"/>
  <c r="G5" i="57" s="1"/>
  <c r="G84" i="57"/>
  <c r="G100" i="57" s="1"/>
  <c r="F84" i="57"/>
  <c r="F100" i="57" s="1"/>
  <c r="E84" i="57"/>
  <c r="E100" i="57" s="1"/>
  <c r="D84" i="57"/>
  <c r="D100" i="57" s="1"/>
  <c r="C84" i="57"/>
  <c r="C100" i="57" s="1"/>
  <c r="B84" i="57"/>
  <c r="AI83" i="57"/>
  <c r="AH83" i="57"/>
  <c r="AI82" i="57"/>
  <c r="AH82" i="57"/>
  <c r="AI81" i="57"/>
  <c r="AH81" i="57"/>
  <c r="AI80" i="57"/>
  <c r="AH80" i="57"/>
  <c r="AI79" i="57"/>
  <c r="AH79" i="57"/>
  <c r="AI78" i="57"/>
  <c r="AH78" i="57"/>
  <c r="AI77" i="57"/>
  <c r="AH77" i="57"/>
  <c r="AI76" i="57"/>
  <c r="AH76" i="57"/>
  <c r="AI75" i="57"/>
  <c r="AH75" i="57"/>
  <c r="AI74" i="57"/>
  <c r="AH74" i="57"/>
  <c r="AI73" i="57"/>
  <c r="AH73" i="57"/>
  <c r="AG72" i="57"/>
  <c r="AF72" i="57"/>
  <c r="AE72" i="57"/>
  <c r="AD72" i="57"/>
  <c r="AC72" i="57"/>
  <c r="AB72" i="57"/>
  <c r="AA72" i="57"/>
  <c r="Z72" i="57"/>
  <c r="Y72" i="57"/>
  <c r="X72" i="57"/>
  <c r="W72" i="57"/>
  <c r="V72" i="57"/>
  <c r="U72" i="57"/>
  <c r="T72" i="57"/>
  <c r="S72" i="57"/>
  <c r="R72" i="57"/>
  <c r="Q72" i="57"/>
  <c r="P72" i="57"/>
  <c r="O72" i="57"/>
  <c r="N72" i="57"/>
  <c r="M72" i="57"/>
  <c r="L72" i="57"/>
  <c r="B72" i="57"/>
  <c r="AI71" i="57"/>
  <c r="AH71" i="57"/>
  <c r="AI70" i="57"/>
  <c r="AH70" i="57"/>
  <c r="AI69" i="57"/>
  <c r="AH69" i="57"/>
  <c r="AF68" i="57"/>
  <c r="AE68" i="57"/>
  <c r="AD68" i="57"/>
  <c r="AC68" i="57"/>
  <c r="AB68" i="57"/>
  <c r="AA68" i="57"/>
  <c r="Z68" i="57"/>
  <c r="Y68" i="57"/>
  <c r="X68" i="57"/>
  <c r="W68" i="57"/>
  <c r="V68" i="57"/>
  <c r="U68" i="57"/>
  <c r="T68" i="57"/>
  <c r="S68" i="57"/>
  <c r="R68" i="57"/>
  <c r="Q68" i="57"/>
  <c r="P68" i="57"/>
  <c r="O68" i="57"/>
  <c r="N68" i="57"/>
  <c r="M68" i="57"/>
  <c r="L68" i="57"/>
  <c r="K68" i="57"/>
  <c r="J68" i="57"/>
  <c r="I68" i="57"/>
  <c r="H68" i="57"/>
  <c r="G68" i="57"/>
  <c r="F68" i="57"/>
  <c r="E68" i="57"/>
  <c r="D68" i="57"/>
  <c r="C68" i="57"/>
  <c r="B68" i="57"/>
  <c r="AI67" i="57"/>
  <c r="AH67" i="57"/>
  <c r="AG67" i="57"/>
  <c r="AG68" i="57" s="1"/>
  <c r="AI66" i="57"/>
  <c r="AH66" i="57"/>
  <c r="AI65" i="57"/>
  <c r="AH65" i="57"/>
  <c r="AI64" i="57"/>
  <c r="AH64" i="57"/>
  <c r="AI63" i="57"/>
  <c r="AH63" i="57"/>
  <c r="AI62" i="57"/>
  <c r="AH62" i="57"/>
  <c r="AI61" i="57"/>
  <c r="AH61" i="57"/>
  <c r="AI60" i="57"/>
  <c r="AH60" i="57"/>
  <c r="AI59" i="57"/>
  <c r="AH59" i="57"/>
  <c r="AI58" i="57"/>
  <c r="AH58" i="57"/>
  <c r="AI57" i="57"/>
  <c r="AH57" i="57"/>
  <c r="AI56" i="57"/>
  <c r="AH56" i="57"/>
  <c r="AI55" i="57"/>
  <c r="AH55" i="57"/>
  <c r="AG54" i="57"/>
  <c r="AF54" i="57"/>
  <c r="AE54" i="57"/>
  <c r="AD54" i="57"/>
  <c r="AC54" i="57"/>
  <c r="AB54" i="57"/>
  <c r="AA54" i="57"/>
  <c r="Z54" i="57"/>
  <c r="Y54" i="57"/>
  <c r="X54" i="57"/>
  <c r="W54" i="57"/>
  <c r="V54" i="57"/>
  <c r="U54" i="57"/>
  <c r="T54" i="57"/>
  <c r="S54" i="57"/>
  <c r="R54" i="57"/>
  <c r="Q54" i="57"/>
  <c r="P54" i="57"/>
  <c r="O54" i="57"/>
  <c r="N54" i="57"/>
  <c r="M54" i="57"/>
  <c r="L54" i="57"/>
  <c r="J54" i="57"/>
  <c r="I54" i="57"/>
  <c r="H54" i="57"/>
  <c r="G54" i="57"/>
  <c r="F54" i="57"/>
  <c r="E54" i="57"/>
  <c r="D54" i="57"/>
  <c r="C54" i="57"/>
  <c r="B54" i="57"/>
  <c r="AI53" i="57"/>
  <c r="AH53" i="57"/>
  <c r="AI52" i="57"/>
  <c r="AH52" i="57"/>
  <c r="AI51" i="57"/>
  <c r="AH51" i="57"/>
  <c r="AG50" i="57"/>
  <c r="AD50" i="57"/>
  <c r="AC50" i="57"/>
  <c r="AB50" i="57"/>
  <c r="AA50" i="57"/>
  <c r="Z50" i="57"/>
  <c r="Y50" i="57"/>
  <c r="X50" i="57"/>
  <c r="W50" i="57"/>
  <c r="V50" i="57"/>
  <c r="U50" i="57"/>
  <c r="T50" i="57"/>
  <c r="S50" i="57"/>
  <c r="R50" i="57"/>
  <c r="Q50" i="57"/>
  <c r="P50" i="57"/>
  <c r="O50" i="57"/>
  <c r="N50" i="57"/>
  <c r="M50" i="57"/>
  <c r="L50" i="57"/>
  <c r="J50" i="57"/>
  <c r="I50" i="57"/>
  <c r="H50" i="57"/>
  <c r="G50" i="57"/>
  <c r="F50" i="57"/>
  <c r="E50" i="57"/>
  <c r="D50" i="57"/>
  <c r="C50" i="57"/>
  <c r="B50" i="57"/>
  <c r="AI49" i="57"/>
  <c r="AH49" i="57"/>
  <c r="AI48" i="57"/>
  <c r="AH48" i="57"/>
  <c r="AI47" i="57"/>
  <c r="AH47" i="57"/>
  <c r="AI46" i="57"/>
  <c r="AH46" i="57"/>
  <c r="AI45" i="57"/>
  <c r="AH45" i="57"/>
  <c r="AI44" i="57"/>
  <c r="AH44" i="57"/>
  <c r="AI43" i="57"/>
  <c r="AH43" i="57"/>
  <c r="AI42" i="57"/>
  <c r="AH42" i="57"/>
  <c r="AI41" i="57"/>
  <c r="AH41" i="57"/>
  <c r="AI40" i="57"/>
  <c r="AH40" i="57"/>
  <c r="AI39" i="57"/>
  <c r="AH39" i="57"/>
  <c r="AI38" i="57"/>
  <c r="AH38" i="57"/>
  <c r="AI37" i="57"/>
  <c r="AH37" i="57"/>
  <c r="AI36" i="57"/>
  <c r="AH36" i="57"/>
  <c r="AI35" i="57"/>
  <c r="AH35" i="57"/>
  <c r="AI34" i="57"/>
  <c r="AH34" i="57"/>
  <c r="AI33" i="57"/>
  <c r="AH33" i="57"/>
  <c r="AI32" i="57"/>
  <c r="AH32" i="57"/>
  <c r="AI31" i="57"/>
  <c r="AH31" i="57"/>
  <c r="AI30" i="57"/>
  <c r="AH30" i="57"/>
  <c r="AI29" i="57"/>
  <c r="AH29" i="57"/>
  <c r="AI28" i="57"/>
  <c r="AH28" i="57"/>
  <c r="AI27" i="57"/>
  <c r="AH27" i="57"/>
  <c r="AI26" i="57"/>
  <c r="AH26" i="57"/>
  <c r="AI25" i="57"/>
  <c r="AH25" i="57"/>
  <c r="AI24" i="57"/>
  <c r="AH24" i="57"/>
  <c r="AI23" i="57"/>
  <c r="AH23" i="57"/>
  <c r="AI22" i="57"/>
  <c r="AH22" i="57"/>
  <c r="AI21" i="57"/>
  <c r="AH21" i="57"/>
  <c r="AI20" i="57"/>
  <c r="AH20" i="57"/>
  <c r="AI19" i="57"/>
  <c r="AH19" i="57"/>
  <c r="AI18" i="57"/>
  <c r="AH18" i="57"/>
  <c r="AI17" i="57"/>
  <c r="AH17" i="57"/>
  <c r="AI16" i="57"/>
  <c r="AH16" i="57"/>
  <c r="AI15" i="57"/>
  <c r="AH15" i="57"/>
  <c r="AI14" i="57"/>
  <c r="AH14" i="57"/>
  <c r="AI13" i="57"/>
  <c r="AH13" i="57"/>
  <c r="AI12" i="57"/>
  <c r="AH12" i="57"/>
  <c r="AI11" i="57"/>
  <c r="AH11" i="57"/>
  <c r="Q5" i="57"/>
  <c r="AG4" i="57"/>
  <c r="K4" i="57"/>
  <c r="E4" i="57"/>
  <c r="H4" i="57" s="1"/>
  <c r="B4" i="57"/>
  <c r="S246" i="57" s="1"/>
  <c r="AG2" i="57"/>
  <c r="AF89" i="57" l="1"/>
  <c r="AF91" i="57" s="1"/>
  <c r="AE89" i="57"/>
  <c r="AE91" i="57" s="1"/>
  <c r="AE7" i="57" s="1"/>
  <c r="AD5" i="57"/>
  <c r="AD89" i="57"/>
  <c r="AD91" i="57" s="1"/>
  <c r="AB5" i="57"/>
  <c r="AC89" i="57"/>
  <c r="AC91" i="57" s="1"/>
  <c r="AC7" i="57" s="1"/>
  <c r="AA5" i="57"/>
  <c r="AB89" i="57"/>
  <c r="AB91" i="57" s="1"/>
  <c r="AB92" i="57" s="1"/>
  <c r="Z5" i="57"/>
  <c r="AA89" i="57"/>
  <c r="AA91" i="57" s="1"/>
  <c r="Y5" i="57"/>
  <c r="Z89" i="57"/>
  <c r="Z91" i="57" s="1"/>
  <c r="Z7" i="57" s="1"/>
  <c r="X5" i="57"/>
  <c r="Y89" i="57"/>
  <c r="Y91" i="57" s="1"/>
  <c r="AQ249" i="57" s="1"/>
  <c r="X89" i="57"/>
  <c r="X91" i="57" s="1"/>
  <c r="V5" i="57"/>
  <c r="W89" i="57"/>
  <c r="W91" i="57" s="1"/>
  <c r="W7" i="57" s="1"/>
  <c r="V89" i="57"/>
  <c r="V91" i="57" s="1"/>
  <c r="T5" i="57"/>
  <c r="U89" i="57"/>
  <c r="U91" i="57" s="1"/>
  <c r="U92" i="57" s="1"/>
  <c r="S5" i="57"/>
  <c r="T89" i="57"/>
  <c r="T91" i="57" s="1"/>
  <c r="T92" i="57" s="1"/>
  <c r="R5" i="57"/>
  <c r="S89" i="57"/>
  <c r="S91" i="57" s="1"/>
  <c r="R100" i="57"/>
  <c r="R89" i="57"/>
  <c r="R91" i="57" s="1"/>
  <c r="Q100" i="57"/>
  <c r="Q89" i="57"/>
  <c r="Q91" i="57" s="1"/>
  <c r="O100" i="57"/>
  <c r="O89" i="57"/>
  <c r="O91" i="57" s="1"/>
  <c r="O7" i="57" s="1"/>
  <c r="P89" i="57"/>
  <c r="P91" i="57" s="1"/>
  <c r="P92" i="57" s="1"/>
  <c r="N89" i="57"/>
  <c r="N91" i="57" s="1"/>
  <c r="L5" i="57"/>
  <c r="AI72" i="57"/>
  <c r="AH72" i="57"/>
  <c r="K5" i="57"/>
  <c r="L89" i="57"/>
  <c r="L91" i="57" s="1"/>
  <c r="L92" i="57" s="1"/>
  <c r="M89" i="57"/>
  <c r="M91" i="57" s="1"/>
  <c r="M7" i="57" s="1"/>
  <c r="J5" i="57"/>
  <c r="AI68" i="57"/>
  <c r="J89" i="57"/>
  <c r="J91" i="57" s="1"/>
  <c r="J92" i="57" s="1"/>
  <c r="I89" i="57"/>
  <c r="I91" i="57" s="1"/>
  <c r="I7" i="57" s="1"/>
  <c r="H5" i="57"/>
  <c r="H89" i="57"/>
  <c r="H91" i="57" s="1"/>
  <c r="H7" i="57" s="1"/>
  <c r="F5" i="57"/>
  <c r="E89" i="57"/>
  <c r="E91" i="57" s="1"/>
  <c r="E7" i="57" s="1"/>
  <c r="D5" i="57"/>
  <c r="I5" i="57"/>
  <c r="F89" i="57"/>
  <c r="F91" i="57" s="1"/>
  <c r="X249" i="57" s="1"/>
  <c r="K89" i="57"/>
  <c r="K91" i="57" s="1"/>
  <c r="K7" i="57" s="1"/>
  <c r="G89" i="57"/>
  <c r="G91" i="57" s="1"/>
  <c r="Y249" i="57" s="1"/>
  <c r="AI99" i="57"/>
  <c r="D89" i="57"/>
  <c r="D91" i="57" s="1"/>
  <c r="D92" i="57" s="1"/>
  <c r="C5" i="57"/>
  <c r="AI84" i="57"/>
  <c r="B5" i="57"/>
  <c r="C89" i="57"/>
  <c r="C91" i="57" s="1"/>
  <c r="C7" i="57" s="1"/>
  <c r="AI54" i="57"/>
  <c r="AF5" i="57"/>
  <c r="B89" i="57"/>
  <c r="AF92" i="57"/>
  <c r="AF7" i="57"/>
  <c r="AX249" i="57"/>
  <c r="Q7" i="57"/>
  <c r="Q92" i="57"/>
  <c r="AI249" i="57"/>
  <c r="Y7" i="57"/>
  <c r="Y92" i="57"/>
  <c r="AG89" i="57"/>
  <c r="AA92" i="57"/>
  <c r="AA7" i="57"/>
  <c r="AS249" i="57"/>
  <c r="X92" i="57"/>
  <c r="X7" i="57"/>
  <c r="AP249" i="57"/>
  <c r="S92" i="57"/>
  <c r="S7" i="57"/>
  <c r="AK249" i="57"/>
  <c r="R92" i="57"/>
  <c r="R7" i="57"/>
  <c r="AJ249" i="57"/>
  <c r="Z92" i="57"/>
  <c r="H92" i="57"/>
  <c r="AL249" i="57"/>
  <c r="AG91" i="57"/>
  <c r="AG3" i="57"/>
  <c r="AG6" i="57" s="1"/>
  <c r="L7" i="57"/>
  <c r="AD249" i="57"/>
  <c r="V7" i="57"/>
  <c r="AN249" i="57"/>
  <c r="V92" i="57"/>
  <c r="C92" i="57"/>
  <c r="N7" i="57"/>
  <c r="AF249" i="57"/>
  <c r="N92" i="57"/>
  <c r="AD7" i="57"/>
  <c r="AV249" i="57"/>
  <c r="AD92" i="57"/>
  <c r="U7" i="57"/>
  <c r="AM249" i="57"/>
  <c r="AO249" i="57"/>
  <c r="W92" i="57"/>
  <c r="AW249" i="57"/>
  <c r="J232" i="57"/>
  <c r="K232" i="57" s="1"/>
  <c r="L232" i="57" s="1"/>
  <c r="M232" i="57" s="1"/>
  <c r="N232" i="57" s="1"/>
  <c r="O232" i="57" s="1"/>
  <c r="P232" i="57" s="1"/>
  <c r="AH54" i="57"/>
  <c r="D246" i="57"/>
  <c r="AI50" i="57"/>
  <c r="AH99" i="57"/>
  <c r="H100" i="57"/>
  <c r="P100" i="57"/>
  <c r="X100" i="57"/>
  <c r="AF100" i="57"/>
  <c r="E234" i="57"/>
  <c r="AH50" i="57"/>
  <c r="B100" i="57"/>
  <c r="E229" i="57"/>
  <c r="AC5" i="57"/>
  <c r="AH84" i="57"/>
  <c r="AH68" i="57"/>
  <c r="E5" i="57"/>
  <c r="M5" i="57"/>
  <c r="U5" i="57"/>
  <c r="AB50" i="56"/>
  <c r="AB54" i="56"/>
  <c r="AB68" i="56"/>
  <c r="AB72" i="56"/>
  <c r="AB84" i="56"/>
  <c r="AB89" i="56" s="1"/>
  <c r="AB91" i="56" s="1"/>
  <c r="AB92" i="56" s="1"/>
  <c r="AB99" i="56"/>
  <c r="AB110" i="56"/>
  <c r="V49" i="56"/>
  <c r="U113" i="56"/>
  <c r="U49" i="56"/>
  <c r="T49" i="56"/>
  <c r="S113" i="56"/>
  <c r="R49" i="56"/>
  <c r="S49" i="56"/>
  <c r="Q113" i="56"/>
  <c r="Q49" i="56"/>
  <c r="P113" i="56"/>
  <c r="P49" i="56"/>
  <c r="O113" i="56"/>
  <c r="O49" i="56"/>
  <c r="N113" i="56"/>
  <c r="N49" i="56"/>
  <c r="AE92" i="57" l="1"/>
  <c r="AC92" i="57"/>
  <c r="AU249" i="57"/>
  <c r="AT249" i="57"/>
  <c r="AB7" i="57"/>
  <c r="AR249" i="57"/>
  <c r="T7" i="57"/>
  <c r="AH249" i="57"/>
  <c r="P7" i="57"/>
  <c r="O92" i="57"/>
  <c r="AG249" i="57"/>
  <c r="M92" i="57"/>
  <c r="AE249" i="57"/>
  <c r="AC249" i="57"/>
  <c r="K92" i="57"/>
  <c r="AB249" i="57"/>
  <c r="J7" i="57"/>
  <c r="AA249" i="57"/>
  <c r="I92" i="57"/>
  <c r="W249" i="57"/>
  <c r="E92" i="57"/>
  <c r="V249" i="57"/>
  <c r="D7" i="57"/>
  <c r="Z249" i="57"/>
  <c r="G7" i="57"/>
  <c r="G92" i="57"/>
  <c r="B244" i="57"/>
  <c r="C244" i="57"/>
  <c r="F92" i="57"/>
  <c r="F7" i="57"/>
  <c r="U249" i="57"/>
  <c r="AH89" i="57"/>
  <c r="AI89" i="57"/>
  <c r="B91" i="57"/>
  <c r="T249" i="57" s="1"/>
  <c r="D270" i="57"/>
  <c r="F234" i="57"/>
  <c r="F229" i="57"/>
  <c r="E110" i="57"/>
  <c r="E235" i="57"/>
  <c r="AH100" i="57"/>
  <c r="AI100" i="57"/>
  <c r="B92" i="57"/>
  <c r="AI91" i="57"/>
  <c r="AH91" i="57"/>
  <c r="B7" i="57"/>
  <c r="AB100" i="56"/>
  <c r="M113" i="56"/>
  <c r="M49" i="56"/>
  <c r="K50" i="56"/>
  <c r="K54" i="56"/>
  <c r="K68" i="56"/>
  <c r="J50" i="56"/>
  <c r="J54" i="56"/>
  <c r="J68" i="56"/>
  <c r="I50" i="56"/>
  <c r="K6" i="57" l="1"/>
  <c r="A7" i="57"/>
  <c r="G229" i="57"/>
  <c r="F110" i="57"/>
  <c r="F235" i="57"/>
  <c r="E270" i="57"/>
  <c r="G234" i="57"/>
  <c r="AI92" i="57"/>
  <c r="AH92" i="57"/>
  <c r="G50" i="56"/>
  <c r="H50" i="56"/>
  <c r="F50" i="56"/>
  <c r="F54" i="56"/>
  <c r="E50" i="56"/>
  <c r="F270" i="57" l="1"/>
  <c r="H234" i="57"/>
  <c r="H229" i="57"/>
  <c r="G110" i="57"/>
  <c r="G235" i="57"/>
  <c r="AF274" i="56"/>
  <c r="AE274" i="56"/>
  <c r="AD274" i="56"/>
  <c r="AC274" i="56"/>
  <c r="AB274" i="56"/>
  <c r="AA274" i="56"/>
  <c r="Z274" i="56"/>
  <c r="Y274" i="56"/>
  <c r="X274" i="56"/>
  <c r="W274" i="56"/>
  <c r="V274" i="56"/>
  <c r="U274" i="56"/>
  <c r="T274" i="56"/>
  <c r="S274" i="56"/>
  <c r="R274" i="56"/>
  <c r="Q274" i="56"/>
  <c r="P274" i="56"/>
  <c r="O274" i="56"/>
  <c r="N274" i="56"/>
  <c r="M274" i="56"/>
  <c r="L274" i="56"/>
  <c r="K274" i="56"/>
  <c r="J274" i="56"/>
  <c r="I274" i="56"/>
  <c r="H274" i="56"/>
  <c r="G274" i="56"/>
  <c r="F274" i="56"/>
  <c r="E274" i="56"/>
  <c r="D274" i="56"/>
  <c r="C274" i="56"/>
  <c r="B274" i="56"/>
  <c r="A274" i="56"/>
  <c r="AF273" i="56"/>
  <c r="AE273" i="56"/>
  <c r="AD273" i="56"/>
  <c r="AC273" i="56"/>
  <c r="AB273" i="56"/>
  <c r="AA273" i="56"/>
  <c r="Z273" i="56"/>
  <c r="Y273" i="56"/>
  <c r="X273" i="56"/>
  <c r="W273" i="56"/>
  <c r="V273" i="56"/>
  <c r="U273" i="56"/>
  <c r="T273" i="56"/>
  <c r="S273" i="56"/>
  <c r="R273" i="56"/>
  <c r="Q273" i="56"/>
  <c r="P273" i="56"/>
  <c r="O273" i="56"/>
  <c r="N273" i="56"/>
  <c r="M273" i="56"/>
  <c r="L273" i="56"/>
  <c r="K273" i="56"/>
  <c r="J273" i="56"/>
  <c r="I273" i="56"/>
  <c r="H273" i="56"/>
  <c r="G273" i="56"/>
  <c r="F273" i="56"/>
  <c r="E273" i="56"/>
  <c r="D273" i="56"/>
  <c r="C273" i="56"/>
  <c r="B273" i="56"/>
  <c r="A273" i="56"/>
  <c r="AF272" i="56"/>
  <c r="AE272" i="56"/>
  <c r="AD272" i="56"/>
  <c r="AC272" i="56"/>
  <c r="AB272" i="56"/>
  <c r="AA272" i="56"/>
  <c r="Z272" i="56"/>
  <c r="Y272" i="56"/>
  <c r="X272" i="56"/>
  <c r="W272" i="56"/>
  <c r="V272" i="56"/>
  <c r="U272" i="56"/>
  <c r="T272" i="56"/>
  <c r="S272" i="56"/>
  <c r="R272" i="56"/>
  <c r="Q272" i="56"/>
  <c r="P272" i="56"/>
  <c r="O272" i="56"/>
  <c r="N272" i="56"/>
  <c r="M272" i="56"/>
  <c r="L272" i="56"/>
  <c r="K272" i="56"/>
  <c r="J272" i="56"/>
  <c r="I272" i="56"/>
  <c r="H272" i="56"/>
  <c r="G272" i="56"/>
  <c r="F272" i="56"/>
  <c r="E272" i="56"/>
  <c r="D272" i="56"/>
  <c r="C272" i="56"/>
  <c r="B272" i="56"/>
  <c r="A272" i="56"/>
  <c r="AF271" i="56"/>
  <c r="AE271" i="56"/>
  <c r="AD271" i="56"/>
  <c r="AC271" i="56"/>
  <c r="AB271" i="56"/>
  <c r="AA271" i="56"/>
  <c r="Z271" i="56"/>
  <c r="Y271" i="56"/>
  <c r="X271" i="56"/>
  <c r="W271" i="56"/>
  <c r="V271" i="56"/>
  <c r="U271" i="56"/>
  <c r="T271" i="56"/>
  <c r="S271" i="56"/>
  <c r="R271" i="56"/>
  <c r="Q271" i="56"/>
  <c r="P271" i="56"/>
  <c r="O271" i="56"/>
  <c r="N271" i="56"/>
  <c r="M271" i="56"/>
  <c r="L271" i="56"/>
  <c r="K271" i="56"/>
  <c r="J271" i="56"/>
  <c r="I271" i="56"/>
  <c r="H271" i="56"/>
  <c r="G271" i="56"/>
  <c r="F271" i="56"/>
  <c r="E271" i="56"/>
  <c r="D271" i="56"/>
  <c r="C271" i="56"/>
  <c r="B271" i="56"/>
  <c r="A271" i="56"/>
  <c r="AE270" i="56"/>
  <c r="AD270" i="56"/>
  <c r="AC270" i="56"/>
  <c r="AB270" i="56"/>
  <c r="AA270" i="56"/>
  <c r="Z270" i="56"/>
  <c r="Y270" i="56"/>
  <c r="X270" i="56"/>
  <c r="W270" i="56"/>
  <c r="V270" i="56"/>
  <c r="U270" i="56"/>
  <c r="T270" i="56"/>
  <c r="S270" i="56"/>
  <c r="R270" i="56"/>
  <c r="Q270" i="56"/>
  <c r="P270" i="56"/>
  <c r="B270" i="56"/>
  <c r="S245" i="56"/>
  <c r="AG235" i="56"/>
  <c r="AF235" i="56"/>
  <c r="AE235" i="56"/>
  <c r="AD235" i="56"/>
  <c r="AC235" i="56"/>
  <c r="AB235" i="56"/>
  <c r="AA235" i="56"/>
  <c r="Z235" i="56"/>
  <c r="Y235" i="56"/>
  <c r="X235" i="56"/>
  <c r="W235" i="56"/>
  <c r="V235" i="56"/>
  <c r="U235" i="56"/>
  <c r="T235" i="56"/>
  <c r="S235" i="56"/>
  <c r="R235" i="56"/>
  <c r="Q235" i="56"/>
  <c r="C235" i="56"/>
  <c r="D234" i="56"/>
  <c r="C270" i="56" s="1"/>
  <c r="B234" i="56"/>
  <c r="AF270" i="56" s="1"/>
  <c r="E233" i="56"/>
  <c r="F233" i="56" s="1"/>
  <c r="G233" i="56" s="1"/>
  <c r="H233" i="56" s="1"/>
  <c r="I233" i="56" s="1"/>
  <c r="J233" i="56" s="1"/>
  <c r="K233" i="56" s="1"/>
  <c r="L233" i="56" s="1"/>
  <c r="M233" i="56" s="1"/>
  <c r="N233" i="56" s="1"/>
  <c r="O233" i="56" s="1"/>
  <c r="P233" i="56" s="1"/>
  <c r="D233" i="56"/>
  <c r="B233" i="56"/>
  <c r="D232" i="56"/>
  <c r="E232" i="56" s="1"/>
  <c r="F232" i="56" s="1"/>
  <c r="G232" i="56" s="1"/>
  <c r="H232" i="56" s="1"/>
  <c r="I232" i="56" s="1"/>
  <c r="B232" i="56"/>
  <c r="F231" i="56"/>
  <c r="G231" i="56" s="1"/>
  <c r="H231" i="56" s="1"/>
  <c r="E231" i="56"/>
  <c r="D231" i="56"/>
  <c r="B231" i="56"/>
  <c r="D230" i="56"/>
  <c r="D235" i="56" s="1"/>
  <c r="B230" i="56"/>
  <c r="E229" i="56"/>
  <c r="F229" i="56" s="1"/>
  <c r="D229" i="56"/>
  <c r="B229" i="56"/>
  <c r="B235" i="56" s="1"/>
  <c r="AG227" i="56"/>
  <c r="AF227" i="56"/>
  <c r="AE227" i="56"/>
  <c r="AD227" i="56"/>
  <c r="AC227" i="56"/>
  <c r="AB227" i="56"/>
  <c r="AA227" i="56"/>
  <c r="Z227" i="56"/>
  <c r="Y227" i="56"/>
  <c r="X227" i="56"/>
  <c r="W227" i="56"/>
  <c r="V227" i="56"/>
  <c r="U227" i="56"/>
  <c r="T227" i="56"/>
  <c r="S227" i="56"/>
  <c r="R227" i="56"/>
  <c r="Q227" i="56"/>
  <c r="P227" i="56"/>
  <c r="O227" i="56"/>
  <c r="N227" i="56"/>
  <c r="M227" i="56"/>
  <c r="L227" i="56"/>
  <c r="K227" i="56"/>
  <c r="J227" i="56"/>
  <c r="I227" i="56"/>
  <c r="H227" i="56"/>
  <c r="G227" i="56"/>
  <c r="F227" i="56"/>
  <c r="E227" i="56"/>
  <c r="D227" i="56"/>
  <c r="C227" i="56"/>
  <c r="B227" i="56"/>
  <c r="AI120" i="56"/>
  <c r="AH120" i="56"/>
  <c r="AI119" i="56"/>
  <c r="AH119" i="56"/>
  <c r="AI118" i="56"/>
  <c r="AH118" i="56"/>
  <c r="AI117" i="56"/>
  <c r="AH117" i="56"/>
  <c r="AI116" i="56"/>
  <c r="AH116" i="56"/>
  <c r="AI115" i="56"/>
  <c r="AH115" i="56"/>
  <c r="AI114" i="56"/>
  <c r="AH114" i="56"/>
  <c r="AI113" i="56"/>
  <c r="AH113" i="56"/>
  <c r="AI112" i="56"/>
  <c r="AH112" i="56"/>
  <c r="AI111" i="56"/>
  <c r="AH111" i="56"/>
  <c r="AF110" i="56"/>
  <c r="AE110" i="56"/>
  <c r="AC110" i="56"/>
  <c r="AA110" i="56"/>
  <c r="Z110" i="56"/>
  <c r="Y110" i="56"/>
  <c r="X110" i="56"/>
  <c r="W110" i="56"/>
  <c r="V110" i="56"/>
  <c r="U110" i="56"/>
  <c r="T110" i="56"/>
  <c r="S110" i="56"/>
  <c r="R110" i="56"/>
  <c r="Q110" i="56"/>
  <c r="D110" i="56"/>
  <c r="C110" i="56"/>
  <c r="B110" i="56"/>
  <c r="AI109" i="56"/>
  <c r="AH109" i="56"/>
  <c r="AI108" i="56"/>
  <c r="AH108" i="56"/>
  <c r="AI107" i="56"/>
  <c r="AH107" i="56"/>
  <c r="AI106" i="56"/>
  <c r="AH106" i="56"/>
  <c r="AI105" i="56"/>
  <c r="AH105" i="56"/>
  <c r="AI104" i="56"/>
  <c r="AH104" i="56"/>
  <c r="AI103" i="56"/>
  <c r="AH103" i="56"/>
  <c r="AI102" i="56"/>
  <c r="AH102" i="56"/>
  <c r="AI101" i="56"/>
  <c r="AH101" i="56"/>
  <c r="R100" i="56"/>
  <c r="AF99" i="56"/>
  <c r="AE99" i="56"/>
  <c r="AD99" i="56"/>
  <c r="AC99" i="56"/>
  <c r="AA99" i="56"/>
  <c r="Z99" i="56"/>
  <c r="Y99" i="56"/>
  <c r="X99" i="56"/>
  <c r="W99" i="56"/>
  <c r="V99" i="56"/>
  <c r="U99" i="56"/>
  <c r="T99" i="56"/>
  <c r="S99" i="56"/>
  <c r="R99" i="56"/>
  <c r="Q99" i="56"/>
  <c r="P99" i="56"/>
  <c r="O99" i="56"/>
  <c r="N99" i="56"/>
  <c r="M99" i="56"/>
  <c r="L99" i="56"/>
  <c r="K99" i="56"/>
  <c r="J99" i="56"/>
  <c r="I99" i="56"/>
  <c r="H99" i="56"/>
  <c r="G99" i="56"/>
  <c r="F99" i="56"/>
  <c r="E99" i="56"/>
  <c r="D99" i="56"/>
  <c r="C99" i="56"/>
  <c r="B99" i="56"/>
  <c r="AI98" i="56"/>
  <c r="AH98" i="56"/>
  <c r="AI97" i="56"/>
  <c r="AH97" i="56"/>
  <c r="AI96" i="56"/>
  <c r="AH96" i="56"/>
  <c r="AI95" i="56"/>
  <c r="AH95" i="56"/>
  <c r="AI94" i="56"/>
  <c r="AH94" i="56"/>
  <c r="AI93" i="56"/>
  <c r="AH93" i="56"/>
  <c r="AI90" i="56"/>
  <c r="AH90" i="56"/>
  <c r="AI88" i="56"/>
  <c r="AH88" i="56"/>
  <c r="AG88" i="56"/>
  <c r="AI87" i="56"/>
  <c r="AH87" i="56"/>
  <c r="AI86" i="56"/>
  <c r="AH86" i="56"/>
  <c r="AI85" i="56"/>
  <c r="AH85" i="56"/>
  <c r="AG84" i="56"/>
  <c r="AF84" i="56"/>
  <c r="AF100" i="56" s="1"/>
  <c r="AE84" i="56"/>
  <c r="AE100" i="56" s="1"/>
  <c r="AD84" i="56"/>
  <c r="AD100" i="56" s="1"/>
  <c r="AC84" i="56"/>
  <c r="AC100" i="56" s="1"/>
  <c r="AA84" i="56"/>
  <c r="AA100" i="56" s="1"/>
  <c r="Z84" i="56"/>
  <c r="Y5" i="56" s="1"/>
  <c r="Y84" i="56"/>
  <c r="Y100" i="56" s="1"/>
  <c r="X84" i="56"/>
  <c r="X100" i="56" s="1"/>
  <c r="W84" i="56"/>
  <c r="W100" i="56" s="1"/>
  <c r="V84" i="56"/>
  <c r="V100" i="56" s="1"/>
  <c r="U84" i="56"/>
  <c r="U100" i="56" s="1"/>
  <c r="T84" i="56"/>
  <c r="T100" i="56" s="1"/>
  <c r="S84" i="56"/>
  <c r="S100" i="56" s="1"/>
  <c r="R84" i="56"/>
  <c r="Q84" i="56"/>
  <c r="P5" i="56" s="1"/>
  <c r="P84" i="56"/>
  <c r="O84" i="56"/>
  <c r="O100" i="56" s="1"/>
  <c r="N84" i="56"/>
  <c r="M84" i="56"/>
  <c r="L84" i="56"/>
  <c r="L100" i="56" s="1"/>
  <c r="K84" i="56"/>
  <c r="J84" i="56"/>
  <c r="I84" i="56"/>
  <c r="I100" i="56" s="1"/>
  <c r="H84" i="56"/>
  <c r="G84" i="56"/>
  <c r="G100" i="56" s="1"/>
  <c r="F84" i="56"/>
  <c r="F100" i="56" s="1"/>
  <c r="E84" i="56"/>
  <c r="E100" i="56" s="1"/>
  <c r="D84" i="56"/>
  <c r="D100" i="56" s="1"/>
  <c r="C84" i="56"/>
  <c r="C100" i="56" s="1"/>
  <c r="B84" i="56"/>
  <c r="AI83" i="56"/>
  <c r="AH83" i="56"/>
  <c r="AI82" i="56"/>
  <c r="AH82" i="56"/>
  <c r="AI81" i="56"/>
  <c r="AH81" i="56"/>
  <c r="AI80" i="56"/>
  <c r="AH80" i="56"/>
  <c r="AI79" i="56"/>
  <c r="AH79" i="56"/>
  <c r="AI78" i="56"/>
  <c r="AH78" i="56"/>
  <c r="AI77" i="56"/>
  <c r="AH77" i="56"/>
  <c r="AI76" i="56"/>
  <c r="AH76" i="56"/>
  <c r="AI75" i="56"/>
  <c r="AH75" i="56"/>
  <c r="AI74" i="56"/>
  <c r="AH74" i="56"/>
  <c r="AI73" i="56"/>
  <c r="AH73" i="56"/>
  <c r="AG72" i="56"/>
  <c r="AG4" i="56" s="1"/>
  <c r="AF72" i="56"/>
  <c r="AE72" i="56"/>
  <c r="AD72" i="56"/>
  <c r="AC72" i="56"/>
  <c r="AA72" i="56"/>
  <c r="Z72" i="56"/>
  <c r="Y72" i="56"/>
  <c r="X72" i="56"/>
  <c r="W72" i="56"/>
  <c r="V72" i="56"/>
  <c r="U72" i="56"/>
  <c r="T72" i="56"/>
  <c r="S72" i="56"/>
  <c r="R72" i="56"/>
  <c r="Q72" i="56"/>
  <c r="P72" i="56"/>
  <c r="O72" i="56"/>
  <c r="N72" i="56"/>
  <c r="M72" i="56"/>
  <c r="L72" i="56"/>
  <c r="B72" i="56"/>
  <c r="AI71" i="56"/>
  <c r="AH71" i="56"/>
  <c r="AI70" i="56"/>
  <c r="AH70" i="56"/>
  <c r="AI69" i="56"/>
  <c r="AH69" i="56"/>
  <c r="AF68" i="56"/>
  <c r="AE68" i="56"/>
  <c r="AD68" i="56"/>
  <c r="AC68" i="56"/>
  <c r="AA68" i="56"/>
  <c r="Z68" i="56"/>
  <c r="Y68" i="56"/>
  <c r="X68" i="56"/>
  <c r="W68" i="56"/>
  <c r="V68" i="56"/>
  <c r="U68" i="56"/>
  <c r="T68" i="56"/>
  <c r="S68" i="56"/>
  <c r="R68" i="56"/>
  <c r="Q68" i="56"/>
  <c r="P68" i="56"/>
  <c r="O68" i="56"/>
  <c r="N68" i="56"/>
  <c r="M68" i="56"/>
  <c r="L68" i="56"/>
  <c r="I68" i="56"/>
  <c r="H68" i="56"/>
  <c r="G68" i="56"/>
  <c r="F68" i="56"/>
  <c r="E68" i="56"/>
  <c r="D68" i="56"/>
  <c r="C68" i="56"/>
  <c r="B68" i="56"/>
  <c r="AI67" i="56"/>
  <c r="AH67" i="56"/>
  <c r="AG67" i="56"/>
  <c r="AG68" i="56" s="1"/>
  <c r="AG3" i="56" s="1"/>
  <c r="AI66" i="56"/>
  <c r="AH66" i="56"/>
  <c r="AI65" i="56"/>
  <c r="AH65" i="56"/>
  <c r="AI64" i="56"/>
  <c r="AH64" i="56"/>
  <c r="AI63" i="56"/>
  <c r="AH63" i="56"/>
  <c r="AI62" i="56"/>
  <c r="AH62" i="56"/>
  <c r="AI61" i="56"/>
  <c r="AH61" i="56"/>
  <c r="AI60" i="56"/>
  <c r="AH60" i="56"/>
  <c r="AI59" i="56"/>
  <c r="AH59" i="56"/>
  <c r="AI58" i="56"/>
  <c r="AH58" i="56"/>
  <c r="AI57" i="56"/>
  <c r="AH57" i="56"/>
  <c r="AI56" i="56"/>
  <c r="AH56" i="56"/>
  <c r="AI55" i="56"/>
  <c r="AH55" i="56"/>
  <c r="AG54" i="56"/>
  <c r="AF54" i="56"/>
  <c r="AE54" i="56"/>
  <c r="AD54" i="56"/>
  <c r="AC54" i="56"/>
  <c r="AA54" i="56"/>
  <c r="Z54" i="56"/>
  <c r="Y54" i="56"/>
  <c r="X54" i="56"/>
  <c r="W54" i="56"/>
  <c r="V54" i="56"/>
  <c r="U54" i="56"/>
  <c r="T54" i="56"/>
  <c r="S54" i="56"/>
  <c r="R54" i="56"/>
  <c r="Q54" i="56"/>
  <c r="P54" i="56"/>
  <c r="O54" i="56"/>
  <c r="N54" i="56"/>
  <c r="M54" i="56"/>
  <c r="L54" i="56"/>
  <c r="I54" i="56"/>
  <c r="H54" i="56"/>
  <c r="G54" i="56"/>
  <c r="E54" i="56"/>
  <c r="D54" i="56"/>
  <c r="C54" i="56"/>
  <c r="B54" i="56"/>
  <c r="AI53" i="56"/>
  <c r="AH53" i="56"/>
  <c r="AI52" i="56"/>
  <c r="AH52" i="56"/>
  <c r="AI51" i="56"/>
  <c r="AH51" i="56"/>
  <c r="AG50" i="56"/>
  <c r="AF50" i="56"/>
  <c r="AE50" i="56"/>
  <c r="AD50" i="56"/>
  <c r="AC50" i="56"/>
  <c r="AA50" i="56"/>
  <c r="Z50" i="56"/>
  <c r="Y50" i="56"/>
  <c r="X50" i="56"/>
  <c r="W50" i="56"/>
  <c r="V50" i="56"/>
  <c r="U50" i="56"/>
  <c r="T50" i="56"/>
  <c r="S50" i="56"/>
  <c r="R50" i="56"/>
  <c r="R89" i="56" s="1"/>
  <c r="R91" i="56" s="1"/>
  <c r="Q50" i="56"/>
  <c r="P50" i="56"/>
  <c r="O50" i="56"/>
  <c r="N50" i="56"/>
  <c r="M50" i="56"/>
  <c r="L50" i="56"/>
  <c r="J89" i="56"/>
  <c r="J91" i="56" s="1"/>
  <c r="D50" i="56"/>
  <c r="C50" i="56"/>
  <c r="B50" i="56"/>
  <c r="AI49" i="56"/>
  <c r="AH49" i="56"/>
  <c r="AI48" i="56"/>
  <c r="AH48" i="56"/>
  <c r="AI47" i="56"/>
  <c r="AH47" i="56"/>
  <c r="AI46" i="56"/>
  <c r="AH46" i="56"/>
  <c r="AI45" i="56"/>
  <c r="AH45" i="56"/>
  <c r="AI44" i="56"/>
  <c r="AH44" i="56"/>
  <c r="AI43" i="56"/>
  <c r="AH43" i="56"/>
  <c r="AI42" i="56"/>
  <c r="AH42" i="56"/>
  <c r="AI41" i="56"/>
  <c r="AH41" i="56"/>
  <c r="AI40" i="56"/>
  <c r="AH40" i="56"/>
  <c r="AI39" i="56"/>
  <c r="AH39" i="56"/>
  <c r="AI38" i="56"/>
  <c r="AH38" i="56"/>
  <c r="AI37" i="56"/>
  <c r="AH37" i="56"/>
  <c r="AI36" i="56"/>
  <c r="AH36" i="56"/>
  <c r="AI35" i="56"/>
  <c r="AH35" i="56"/>
  <c r="AI34" i="56"/>
  <c r="AH34" i="56"/>
  <c r="AI33" i="56"/>
  <c r="AH33" i="56"/>
  <c r="AI32" i="56"/>
  <c r="AH32" i="56"/>
  <c r="AI31" i="56"/>
  <c r="AH31" i="56"/>
  <c r="AI30" i="56"/>
  <c r="AH30" i="56"/>
  <c r="AI29" i="56"/>
  <c r="AH29" i="56"/>
  <c r="AI28" i="56"/>
  <c r="AH28" i="56"/>
  <c r="AI27" i="56"/>
  <c r="AH27" i="56"/>
  <c r="AI26" i="56"/>
  <c r="AH26" i="56"/>
  <c r="AI25" i="56"/>
  <c r="AH25" i="56"/>
  <c r="AI24" i="56"/>
  <c r="AH24" i="56"/>
  <c r="AI23" i="56"/>
  <c r="AH23" i="56"/>
  <c r="AI22" i="56"/>
  <c r="AH22" i="56"/>
  <c r="AI21" i="56"/>
  <c r="AH21" i="56"/>
  <c r="AI20" i="56"/>
  <c r="AH20" i="56"/>
  <c r="AI19" i="56"/>
  <c r="AH19" i="56"/>
  <c r="AI18" i="56"/>
  <c r="AH18" i="56"/>
  <c r="AI17" i="56"/>
  <c r="AH17" i="56"/>
  <c r="AI16" i="56"/>
  <c r="AH16" i="56"/>
  <c r="AI15" i="56"/>
  <c r="AH15" i="56"/>
  <c r="AI14" i="56"/>
  <c r="AH14" i="56"/>
  <c r="AI13" i="56"/>
  <c r="AH13" i="56"/>
  <c r="AI12" i="56"/>
  <c r="AH12" i="56"/>
  <c r="AI11" i="56"/>
  <c r="AH11" i="56"/>
  <c r="AA5" i="56"/>
  <c r="Q5" i="56"/>
  <c r="O5" i="56"/>
  <c r="N5" i="56"/>
  <c r="I5" i="56"/>
  <c r="K4" i="56"/>
  <c r="E4" i="56"/>
  <c r="H4" i="56" s="1"/>
  <c r="B4" i="56"/>
  <c r="D246" i="56" s="1"/>
  <c r="AF49" i="55"/>
  <c r="AE49" i="55"/>
  <c r="AD110" i="55"/>
  <c r="AE110" i="55"/>
  <c r="AF110" i="55"/>
  <c r="AD49" i="55"/>
  <c r="AC49" i="55"/>
  <c r="AB49" i="55"/>
  <c r="AD5" i="56" l="1"/>
  <c r="I229" i="57"/>
  <c r="H110" i="57"/>
  <c r="H235" i="57"/>
  <c r="G270" i="57"/>
  <c r="I234" i="57"/>
  <c r="AE5" i="56"/>
  <c r="AF89" i="56"/>
  <c r="AF91" i="56" s="1"/>
  <c r="AF7" i="56" s="1"/>
  <c r="AE89" i="56"/>
  <c r="AE91" i="56" s="1"/>
  <c r="AD89" i="56"/>
  <c r="AD91" i="56" s="1"/>
  <c r="AC89" i="56"/>
  <c r="AC91" i="56" s="1"/>
  <c r="AB5" i="56"/>
  <c r="AA89" i="56"/>
  <c r="AA91" i="56" s="1"/>
  <c r="Z5" i="56"/>
  <c r="Z100" i="56"/>
  <c r="Z89" i="56"/>
  <c r="Z91" i="56" s="1"/>
  <c r="Y89" i="56"/>
  <c r="Y91" i="56" s="1"/>
  <c r="X89" i="56"/>
  <c r="X91" i="56" s="1"/>
  <c r="W5" i="56"/>
  <c r="V5" i="56"/>
  <c r="W89" i="56"/>
  <c r="W91" i="56" s="1"/>
  <c r="V89" i="56"/>
  <c r="V91" i="56" s="1"/>
  <c r="T5" i="56"/>
  <c r="T89" i="56"/>
  <c r="T91" i="56" s="1"/>
  <c r="S5" i="56"/>
  <c r="R5" i="56"/>
  <c r="S89" i="56"/>
  <c r="S91" i="56" s="1"/>
  <c r="AI72" i="56"/>
  <c r="Q89" i="56"/>
  <c r="Q91" i="56" s="1"/>
  <c r="U89" i="56"/>
  <c r="U91" i="56" s="1"/>
  <c r="U92" i="56" s="1"/>
  <c r="P100" i="56"/>
  <c r="P89" i="56"/>
  <c r="P91" i="56" s="1"/>
  <c r="O89" i="56"/>
  <c r="O91" i="56" s="1"/>
  <c r="N100" i="56"/>
  <c r="N89" i="56"/>
  <c r="N91" i="56" s="1"/>
  <c r="M100" i="56"/>
  <c r="L5" i="56"/>
  <c r="M89" i="56"/>
  <c r="M91" i="56" s="1"/>
  <c r="L89" i="56"/>
  <c r="L91" i="56" s="1"/>
  <c r="K100" i="56"/>
  <c r="J5" i="56"/>
  <c r="K89" i="56"/>
  <c r="K91" i="56" s="1"/>
  <c r="J100" i="56"/>
  <c r="H100" i="56"/>
  <c r="I89" i="56"/>
  <c r="I91" i="56" s="1"/>
  <c r="I92" i="56" s="1"/>
  <c r="F5" i="56"/>
  <c r="F89" i="56"/>
  <c r="F91" i="56" s="1"/>
  <c r="X249" i="56" s="1"/>
  <c r="G89" i="56"/>
  <c r="G91" i="56" s="1"/>
  <c r="G92" i="56" s="1"/>
  <c r="G5" i="56"/>
  <c r="H89" i="56"/>
  <c r="H91" i="56" s="1"/>
  <c r="AI99" i="56"/>
  <c r="E89" i="56"/>
  <c r="E91" i="56" s="1"/>
  <c r="E7" i="56" s="1"/>
  <c r="D5" i="56"/>
  <c r="AH68" i="56"/>
  <c r="AH54" i="56"/>
  <c r="AI84" i="56"/>
  <c r="B5" i="56"/>
  <c r="C89" i="56"/>
  <c r="C91" i="56" s="1"/>
  <c r="D89" i="56"/>
  <c r="D91" i="56" s="1"/>
  <c r="D7" i="56" s="1"/>
  <c r="AF5" i="56"/>
  <c r="B100" i="56"/>
  <c r="AI68" i="56"/>
  <c r="B89" i="56"/>
  <c r="AG249" i="56"/>
  <c r="O92" i="56"/>
  <c r="O7" i="56"/>
  <c r="K92" i="56"/>
  <c r="K7" i="56"/>
  <c r="AC249" i="56"/>
  <c r="P92" i="56"/>
  <c r="AH249" i="56"/>
  <c r="P7" i="56"/>
  <c r="Q92" i="56"/>
  <c r="Q7" i="56"/>
  <c r="AI249" i="56"/>
  <c r="AG89" i="56"/>
  <c r="AF249" i="56"/>
  <c r="N92" i="56"/>
  <c r="N7" i="56"/>
  <c r="AO249" i="56"/>
  <c r="W92" i="56"/>
  <c r="W7" i="56"/>
  <c r="R92" i="56"/>
  <c r="AJ249" i="56"/>
  <c r="R7" i="56"/>
  <c r="AN249" i="56"/>
  <c r="V7" i="56"/>
  <c r="V92" i="56"/>
  <c r="AA249" i="56"/>
  <c r="J92" i="56"/>
  <c r="AB249" i="56"/>
  <c r="J7" i="56"/>
  <c r="AB7" i="56"/>
  <c r="AT249" i="56"/>
  <c r="AA92" i="56"/>
  <c r="AA7" i="56"/>
  <c r="AS249" i="56"/>
  <c r="AW249" i="56"/>
  <c r="AE92" i="56"/>
  <c r="AE7" i="56"/>
  <c r="Y92" i="56"/>
  <c r="Y7" i="56"/>
  <c r="AQ249" i="56"/>
  <c r="Z92" i="56"/>
  <c r="AR249" i="56"/>
  <c r="Z7" i="56"/>
  <c r="S92" i="56"/>
  <c r="AK249" i="56"/>
  <c r="S7" i="56"/>
  <c r="L92" i="56"/>
  <c r="L7" i="56"/>
  <c r="AD249" i="56"/>
  <c r="AC7" i="56"/>
  <c r="AU249" i="56"/>
  <c r="AC92" i="56"/>
  <c r="AV249" i="56"/>
  <c r="AD92" i="56"/>
  <c r="AD7" i="56"/>
  <c r="G229" i="56"/>
  <c r="J232" i="56"/>
  <c r="K232" i="56" s="1"/>
  <c r="L232" i="56" s="1"/>
  <c r="M232" i="56" s="1"/>
  <c r="N232" i="56" s="1"/>
  <c r="O232" i="56" s="1"/>
  <c r="P232" i="56" s="1"/>
  <c r="X92" i="56"/>
  <c r="X7" i="56"/>
  <c r="AP249" i="56"/>
  <c r="AG91" i="56"/>
  <c r="T92" i="56"/>
  <c r="T7" i="56"/>
  <c r="AL249" i="56"/>
  <c r="M7" i="56"/>
  <c r="AE249" i="56"/>
  <c r="M92" i="56"/>
  <c r="C92" i="56"/>
  <c r="U249" i="56"/>
  <c r="C7" i="56"/>
  <c r="X5" i="56"/>
  <c r="AI50" i="56"/>
  <c r="AI54" i="56"/>
  <c r="AH99" i="56"/>
  <c r="E230" i="56"/>
  <c r="F230" i="56" s="1"/>
  <c r="G230" i="56" s="1"/>
  <c r="H230" i="56" s="1"/>
  <c r="I230" i="56" s="1"/>
  <c r="J230" i="56" s="1"/>
  <c r="K230" i="56" s="1"/>
  <c r="L230" i="56" s="1"/>
  <c r="M230" i="56" s="1"/>
  <c r="N230" i="56" s="1"/>
  <c r="O230" i="56" s="1"/>
  <c r="P230" i="56" s="1"/>
  <c r="E234" i="56"/>
  <c r="E110" i="56" s="1"/>
  <c r="S246" i="56"/>
  <c r="H5" i="56"/>
  <c r="AH50" i="56"/>
  <c r="AG2" i="56"/>
  <c r="AG6" i="56" s="1"/>
  <c r="C5" i="56"/>
  <c r="K5" i="56"/>
  <c r="Q100" i="56"/>
  <c r="AH100" i="56" s="1"/>
  <c r="E5" i="56"/>
  <c r="M5" i="56"/>
  <c r="U5" i="56"/>
  <c r="AC5" i="56"/>
  <c r="AH72" i="56"/>
  <c r="AH84" i="56"/>
  <c r="AA110" i="55"/>
  <c r="AA99" i="55"/>
  <c r="AA84" i="55"/>
  <c r="AA100" i="55" s="1"/>
  <c r="AA72" i="55"/>
  <c r="AA68" i="55"/>
  <c r="AA54" i="55"/>
  <c r="AA50" i="55"/>
  <c r="AA89" i="55" s="1"/>
  <c r="AA91" i="55" s="1"/>
  <c r="AA92" i="55" s="1"/>
  <c r="AA49" i="55"/>
  <c r="Z49" i="55"/>
  <c r="Z50" i="55"/>
  <c r="Z54" i="55"/>
  <c r="Z68" i="55"/>
  <c r="Z72" i="55"/>
  <c r="Z84" i="55"/>
  <c r="Z100" i="55" s="1"/>
  <c r="Z99" i="55"/>
  <c r="Z110" i="55"/>
  <c r="Y49" i="55"/>
  <c r="Y50" i="55"/>
  <c r="Y54" i="55"/>
  <c r="Y68" i="55"/>
  <c r="Y72" i="55"/>
  <c r="Y84" i="55"/>
  <c r="Y100" i="55" s="1"/>
  <c r="Y99" i="55"/>
  <c r="Y110" i="55"/>
  <c r="Y227" i="55"/>
  <c r="Y235" i="55"/>
  <c r="X49" i="55"/>
  <c r="X50" i="55"/>
  <c r="X54" i="55"/>
  <c r="X68" i="55"/>
  <c r="X72" i="55"/>
  <c r="X84" i="55"/>
  <c r="X100" i="55" s="1"/>
  <c r="X99" i="55"/>
  <c r="X110" i="55"/>
  <c r="X227" i="55"/>
  <c r="W49" i="55"/>
  <c r="W50" i="55"/>
  <c r="W54" i="55"/>
  <c r="W68" i="55"/>
  <c r="W72" i="55"/>
  <c r="W84" i="55"/>
  <c r="W100" i="55" s="1"/>
  <c r="W99" i="55"/>
  <c r="W110" i="55"/>
  <c r="W227" i="55"/>
  <c r="H270" i="57" l="1"/>
  <c r="J234" i="57"/>
  <c r="I110" i="57"/>
  <c r="J229" i="57"/>
  <c r="AX249" i="56"/>
  <c r="AF92" i="56"/>
  <c r="AM249" i="56"/>
  <c r="U7" i="56"/>
  <c r="D92" i="56"/>
  <c r="Y249" i="56"/>
  <c r="F92" i="56"/>
  <c r="F7" i="56"/>
  <c r="C244" i="56"/>
  <c r="I7" i="56"/>
  <c r="G7" i="56"/>
  <c r="Z249" i="56"/>
  <c r="E92" i="56"/>
  <c r="H7" i="56"/>
  <c r="AI89" i="56"/>
  <c r="W249" i="56"/>
  <c r="B244" i="56"/>
  <c r="H92" i="56"/>
  <c r="V249" i="56"/>
  <c r="AI100" i="56"/>
  <c r="B91" i="56"/>
  <c r="AH91" i="56" s="1"/>
  <c r="AH89" i="56"/>
  <c r="H229" i="56"/>
  <c r="D270" i="56"/>
  <c r="F234" i="56"/>
  <c r="E235" i="56"/>
  <c r="F235" i="56"/>
  <c r="Z89" i="55"/>
  <c r="Z91" i="55" s="1"/>
  <c r="Z92" i="55" s="1"/>
  <c r="Y89" i="55"/>
  <c r="Y91" i="55" s="1"/>
  <c r="Y92" i="55" s="1"/>
  <c r="X89" i="55"/>
  <c r="X91" i="55" s="1"/>
  <c r="X92" i="55" s="1"/>
  <c r="W89" i="55"/>
  <c r="W91" i="55" s="1"/>
  <c r="W92" i="55" s="1"/>
  <c r="J110" i="57" l="1"/>
  <c r="K229" i="57"/>
  <c r="K234" i="57"/>
  <c r="I270" i="57"/>
  <c r="K6" i="56"/>
  <c r="T249" i="56"/>
  <c r="AI91" i="56"/>
  <c r="B92" i="56"/>
  <c r="AI92" i="56" s="1"/>
  <c r="B7" i="56"/>
  <c r="A7" i="56" s="1"/>
  <c r="G234" i="56"/>
  <c r="E270" i="56"/>
  <c r="F110" i="56"/>
  <c r="I229" i="56"/>
  <c r="V49" i="55"/>
  <c r="V50" i="55"/>
  <c r="V54" i="55"/>
  <c r="V68" i="55"/>
  <c r="V72" i="55"/>
  <c r="V84" i="55"/>
  <c r="V100" i="55" s="1"/>
  <c r="V99" i="55"/>
  <c r="V110" i="55"/>
  <c r="V227" i="55"/>
  <c r="J270" i="57" l="1"/>
  <c r="L234" i="57"/>
  <c r="K110" i="57"/>
  <c r="L229" i="57"/>
  <c r="AH92" i="56"/>
  <c r="J229" i="56"/>
  <c r="F270" i="56"/>
  <c r="H234" i="56"/>
  <c r="G235" i="56"/>
  <c r="G110" i="56"/>
  <c r="V89" i="55"/>
  <c r="V91" i="55" s="1"/>
  <c r="V92" i="55" s="1"/>
  <c r="M229" i="57" l="1"/>
  <c r="L110" i="57"/>
  <c r="K270" i="57"/>
  <c r="M234" i="57"/>
  <c r="G270" i="56"/>
  <c r="I234" i="56"/>
  <c r="H110" i="56"/>
  <c r="H235" i="56"/>
  <c r="K229" i="56"/>
  <c r="L270" i="57" l="1"/>
  <c r="N234" i="57"/>
  <c r="N229" i="57"/>
  <c r="M110" i="57"/>
  <c r="L229" i="56"/>
  <c r="H270" i="56"/>
  <c r="J234" i="56"/>
  <c r="I110" i="56"/>
  <c r="O229" i="57" l="1"/>
  <c r="N110" i="57"/>
  <c r="M270" i="57"/>
  <c r="O234" i="57"/>
  <c r="K234" i="56"/>
  <c r="I270" i="56"/>
  <c r="J110" i="56"/>
  <c r="M229" i="56"/>
  <c r="N270" i="57" l="1"/>
  <c r="P234" i="57"/>
  <c r="O270" i="57" s="1"/>
  <c r="P229" i="57"/>
  <c r="O110" i="57"/>
  <c r="N229" i="56"/>
  <c r="L234" i="56"/>
  <c r="J270" i="56"/>
  <c r="K110" i="56"/>
  <c r="AH110" i="57" l="1"/>
  <c r="AI110" i="57"/>
  <c r="K270" i="56"/>
  <c r="M234" i="56"/>
  <c r="L110" i="56"/>
  <c r="O229" i="56"/>
  <c r="P229" i="56" l="1"/>
  <c r="L270" i="56"/>
  <c r="N234" i="56"/>
  <c r="M110" i="56"/>
  <c r="O234" i="56" l="1"/>
  <c r="M270" i="56"/>
  <c r="N110" i="56"/>
  <c r="N270" i="56" l="1"/>
  <c r="P234" i="56"/>
  <c r="O270" i="56" s="1"/>
  <c r="O110" i="56"/>
  <c r="AH110" i="56" l="1"/>
  <c r="AI110" i="56"/>
  <c r="U49" i="55" l="1"/>
  <c r="U50" i="55"/>
  <c r="U54" i="55"/>
  <c r="U68" i="55"/>
  <c r="U72" i="55"/>
  <c r="U84" i="55"/>
  <c r="U100" i="55" s="1"/>
  <c r="U99" i="55"/>
  <c r="U110" i="55"/>
  <c r="T49" i="55"/>
  <c r="T50" i="55"/>
  <c r="T54" i="55"/>
  <c r="T68" i="55"/>
  <c r="T72" i="55"/>
  <c r="T84" i="55"/>
  <c r="T100" i="55" s="1"/>
  <c r="T99" i="55"/>
  <c r="T110" i="55"/>
  <c r="T227" i="55"/>
  <c r="C8" i="14"/>
  <c r="S23" i="55"/>
  <c r="S27" i="55"/>
  <c r="S49" i="55"/>
  <c r="S50" i="55"/>
  <c r="S54" i="55"/>
  <c r="S68" i="55"/>
  <c r="S72" i="55"/>
  <c r="S84" i="55"/>
  <c r="S100" i="55" s="1"/>
  <c r="S99" i="55"/>
  <c r="S110" i="55"/>
  <c r="S227" i="55"/>
  <c r="S235" i="55"/>
  <c r="R113" i="55"/>
  <c r="R49" i="55"/>
  <c r="R23" i="55"/>
  <c r="R27" i="55"/>
  <c r="N50" i="55"/>
  <c r="P113" i="55"/>
  <c r="Q113" i="55"/>
  <c r="Q49" i="55"/>
  <c r="O113" i="55"/>
  <c r="O49" i="55"/>
  <c r="U89" i="55" l="1"/>
  <c r="U91" i="55" s="1"/>
  <c r="U92" i="55" s="1"/>
  <c r="T89" i="55"/>
  <c r="T91" i="55" s="1"/>
  <c r="T92" i="55" s="1"/>
  <c r="S89" i="55"/>
  <c r="S91" i="55" s="1"/>
  <c r="S92" i="55" s="1"/>
  <c r="N49" i="55"/>
  <c r="N113" i="55"/>
  <c r="N23" i="55"/>
  <c r="M113" i="55" l="1"/>
  <c r="AH113" i="55" s="1"/>
  <c r="M49" i="55"/>
  <c r="M50" i="55"/>
  <c r="F113" i="55"/>
  <c r="I49" i="55"/>
  <c r="H49" i="55"/>
  <c r="F49" i="55"/>
  <c r="G49" i="55"/>
  <c r="E113" i="55"/>
  <c r="E49" i="55"/>
  <c r="AI49" i="55" s="1"/>
  <c r="AF68" i="54"/>
  <c r="AF72" i="54"/>
  <c r="AF84" i="54"/>
  <c r="AF89" i="54"/>
  <c r="AF91" i="54"/>
  <c r="AF92" i="54"/>
  <c r="AF274" i="55"/>
  <c r="AE274" i="55"/>
  <c r="AD274" i="55"/>
  <c r="AC274" i="55"/>
  <c r="AB274" i="55"/>
  <c r="AA274" i="55"/>
  <c r="Z274" i="55"/>
  <c r="Y274" i="55"/>
  <c r="X274" i="55"/>
  <c r="W274" i="55"/>
  <c r="V274" i="55"/>
  <c r="U274" i="55"/>
  <c r="T274" i="55"/>
  <c r="S274" i="55"/>
  <c r="R274" i="55"/>
  <c r="Q274" i="55"/>
  <c r="P274" i="55"/>
  <c r="O274" i="55"/>
  <c r="N274" i="55"/>
  <c r="M274" i="55"/>
  <c r="L274" i="55"/>
  <c r="K274" i="55"/>
  <c r="J274" i="55"/>
  <c r="I274" i="55"/>
  <c r="H274" i="55"/>
  <c r="G274" i="55"/>
  <c r="F274" i="55"/>
  <c r="E274" i="55"/>
  <c r="D274" i="55"/>
  <c r="C274" i="55"/>
  <c r="B274" i="55"/>
  <c r="A274" i="55"/>
  <c r="AF273" i="55"/>
  <c r="AE273" i="55"/>
  <c r="AD273" i="55"/>
  <c r="AC273" i="55"/>
  <c r="AB273" i="55"/>
  <c r="AA273" i="55"/>
  <c r="Z273" i="55"/>
  <c r="Y273" i="55"/>
  <c r="X273" i="55"/>
  <c r="W273" i="55"/>
  <c r="V273" i="55"/>
  <c r="U273" i="55"/>
  <c r="T273" i="55"/>
  <c r="S273" i="55"/>
  <c r="R273" i="55"/>
  <c r="Q273" i="55"/>
  <c r="P273" i="55"/>
  <c r="O273" i="55"/>
  <c r="N273" i="55"/>
  <c r="M273" i="55"/>
  <c r="L273" i="55"/>
  <c r="K273" i="55"/>
  <c r="J273" i="55"/>
  <c r="I273" i="55"/>
  <c r="H273" i="55"/>
  <c r="G273" i="55"/>
  <c r="F273" i="55"/>
  <c r="E273" i="55"/>
  <c r="D273" i="55"/>
  <c r="C273" i="55"/>
  <c r="B273" i="55"/>
  <c r="A273" i="55"/>
  <c r="AF272" i="55"/>
  <c r="AE272" i="55"/>
  <c r="AD272" i="55"/>
  <c r="AC272" i="55"/>
  <c r="AB272" i="55"/>
  <c r="AA272" i="55"/>
  <c r="Z272" i="55"/>
  <c r="Y272" i="55"/>
  <c r="X272" i="55"/>
  <c r="W272" i="55"/>
  <c r="V272" i="55"/>
  <c r="U272" i="55"/>
  <c r="T272" i="55"/>
  <c r="S272" i="55"/>
  <c r="R272" i="55"/>
  <c r="Q272" i="55"/>
  <c r="P272" i="55"/>
  <c r="O272" i="55"/>
  <c r="N272" i="55"/>
  <c r="M272" i="55"/>
  <c r="L272" i="55"/>
  <c r="K272" i="55"/>
  <c r="J272" i="55"/>
  <c r="I272" i="55"/>
  <c r="H272" i="55"/>
  <c r="G272" i="55"/>
  <c r="F272" i="55"/>
  <c r="E272" i="55"/>
  <c r="D272" i="55"/>
  <c r="C272" i="55"/>
  <c r="B272" i="55"/>
  <c r="A272" i="55"/>
  <c r="AF271" i="55"/>
  <c r="AE271" i="55"/>
  <c r="AD271" i="55"/>
  <c r="AC271" i="55"/>
  <c r="AB271" i="55"/>
  <c r="AA271" i="55"/>
  <c r="Z271" i="55"/>
  <c r="Y271" i="55"/>
  <c r="X271" i="55"/>
  <c r="W271" i="55"/>
  <c r="V271" i="55"/>
  <c r="U271" i="55"/>
  <c r="T271" i="55"/>
  <c r="S271" i="55"/>
  <c r="R271" i="55"/>
  <c r="Q271" i="55"/>
  <c r="P271" i="55"/>
  <c r="O271" i="55"/>
  <c r="N271" i="55"/>
  <c r="M271" i="55"/>
  <c r="L271" i="55"/>
  <c r="K271" i="55"/>
  <c r="J271" i="55"/>
  <c r="I271" i="55"/>
  <c r="H271" i="55"/>
  <c r="G271" i="55"/>
  <c r="F271" i="55"/>
  <c r="E271" i="55"/>
  <c r="D271" i="55"/>
  <c r="C271" i="55"/>
  <c r="B271" i="55"/>
  <c r="A271" i="55"/>
  <c r="AE270" i="55"/>
  <c r="AD270" i="55"/>
  <c r="AC270" i="55"/>
  <c r="AB270" i="55"/>
  <c r="AA270" i="55"/>
  <c r="Z270" i="55"/>
  <c r="Y270" i="55"/>
  <c r="X270" i="55"/>
  <c r="W270" i="55"/>
  <c r="V270" i="55"/>
  <c r="U270" i="55"/>
  <c r="T270" i="55"/>
  <c r="S270" i="55"/>
  <c r="R270" i="55"/>
  <c r="Q270" i="55"/>
  <c r="P270" i="55"/>
  <c r="B270" i="55"/>
  <c r="S245" i="55"/>
  <c r="AG235" i="55"/>
  <c r="AF235" i="55"/>
  <c r="AE235" i="55"/>
  <c r="AD235" i="55"/>
  <c r="AC235" i="55"/>
  <c r="AB235" i="55"/>
  <c r="AA235" i="55"/>
  <c r="Z235" i="55"/>
  <c r="X235" i="55"/>
  <c r="W235" i="55"/>
  <c r="V235" i="55"/>
  <c r="U235" i="55"/>
  <c r="T235" i="55"/>
  <c r="R235" i="55"/>
  <c r="Q235" i="55"/>
  <c r="C235" i="55"/>
  <c r="D234" i="55"/>
  <c r="C270" i="55" s="1"/>
  <c r="B234" i="55"/>
  <c r="AF270" i="55" s="1"/>
  <c r="E233" i="55"/>
  <c r="F233" i="55" s="1"/>
  <c r="G233" i="55" s="1"/>
  <c r="H233" i="55" s="1"/>
  <c r="I233" i="55" s="1"/>
  <c r="J233" i="55" s="1"/>
  <c r="K233" i="55" s="1"/>
  <c r="L233" i="55" s="1"/>
  <c r="M233" i="55" s="1"/>
  <c r="N233" i="55" s="1"/>
  <c r="O233" i="55" s="1"/>
  <c r="P233" i="55" s="1"/>
  <c r="D233" i="55"/>
  <c r="B233" i="55"/>
  <c r="D232" i="55"/>
  <c r="E232" i="55" s="1"/>
  <c r="F232" i="55" s="1"/>
  <c r="G232" i="55" s="1"/>
  <c r="H232" i="55" s="1"/>
  <c r="I232" i="55" s="1"/>
  <c r="B232" i="55"/>
  <c r="F231" i="55"/>
  <c r="G231" i="55" s="1"/>
  <c r="H231" i="55" s="1"/>
  <c r="E231" i="55"/>
  <c r="D231" i="55"/>
  <c r="B231" i="55"/>
  <c r="D230" i="55"/>
  <c r="B230" i="55"/>
  <c r="E229" i="55"/>
  <c r="F229" i="55" s="1"/>
  <c r="D229" i="55"/>
  <c r="B229" i="55"/>
  <c r="B110" i="55" s="1"/>
  <c r="AG227" i="55"/>
  <c r="AF227" i="55"/>
  <c r="AE227" i="55"/>
  <c r="AD227" i="55"/>
  <c r="AC227" i="55"/>
  <c r="AB227" i="55"/>
  <c r="AA227" i="55"/>
  <c r="Z227" i="55"/>
  <c r="U227" i="55"/>
  <c r="R227" i="55"/>
  <c r="Q227" i="55"/>
  <c r="P227" i="55"/>
  <c r="O227" i="55"/>
  <c r="N227" i="55"/>
  <c r="M227" i="55"/>
  <c r="L227" i="55"/>
  <c r="K227" i="55"/>
  <c r="J227" i="55"/>
  <c r="I227" i="55"/>
  <c r="H227" i="55"/>
  <c r="G227" i="55"/>
  <c r="F227" i="55"/>
  <c r="E227" i="55"/>
  <c r="D227" i="55"/>
  <c r="C227" i="55"/>
  <c r="B227" i="55"/>
  <c r="AI120" i="55"/>
  <c r="AH120" i="55"/>
  <c r="AI119" i="55"/>
  <c r="AH119" i="55"/>
  <c r="AI118" i="55"/>
  <c r="AH118" i="55"/>
  <c r="AI117" i="55"/>
  <c r="AH117" i="55"/>
  <c r="AI116" i="55"/>
  <c r="AH116" i="55"/>
  <c r="AI115" i="55"/>
  <c r="AH115" i="55"/>
  <c r="AI114" i="55"/>
  <c r="AH114" i="55"/>
  <c r="AI113" i="55"/>
  <c r="AI112" i="55"/>
  <c r="AH112" i="55"/>
  <c r="AI111" i="55"/>
  <c r="AH111" i="55"/>
  <c r="AC110" i="55"/>
  <c r="AB110" i="55"/>
  <c r="R110" i="55"/>
  <c r="Q110" i="55"/>
  <c r="D110" i="55"/>
  <c r="C110" i="55"/>
  <c r="AI109" i="55"/>
  <c r="AH109" i="55"/>
  <c r="AI108" i="55"/>
  <c r="AH108" i="55"/>
  <c r="AI107" i="55"/>
  <c r="AH107" i="55"/>
  <c r="AI106" i="55"/>
  <c r="AH106" i="55"/>
  <c r="AI105" i="55"/>
  <c r="AH105" i="55"/>
  <c r="AI104" i="55"/>
  <c r="AH104" i="55"/>
  <c r="AI103" i="55"/>
  <c r="AH103" i="55"/>
  <c r="AI102" i="55"/>
  <c r="AH102" i="55"/>
  <c r="AI101" i="55"/>
  <c r="AH101" i="55"/>
  <c r="AF99" i="55"/>
  <c r="AE99" i="55"/>
  <c r="AD99" i="55"/>
  <c r="AC99" i="55"/>
  <c r="AB99" i="55"/>
  <c r="R99" i="55"/>
  <c r="Q99" i="55"/>
  <c r="P99" i="55"/>
  <c r="O99" i="55"/>
  <c r="N99" i="55"/>
  <c r="M99" i="55"/>
  <c r="L99" i="55"/>
  <c r="K99" i="55"/>
  <c r="J99" i="55"/>
  <c r="I99" i="55"/>
  <c r="H99" i="55"/>
  <c r="G99" i="55"/>
  <c r="F99" i="55"/>
  <c r="E99" i="55"/>
  <c r="D99" i="55"/>
  <c r="C99" i="55"/>
  <c r="B99" i="55"/>
  <c r="AI98" i="55"/>
  <c r="AH98" i="55"/>
  <c r="AI97" i="55"/>
  <c r="AH97" i="55"/>
  <c r="AI96" i="55"/>
  <c r="AH96" i="55"/>
  <c r="AI95" i="55"/>
  <c r="AH95" i="55"/>
  <c r="AI94" i="55"/>
  <c r="AH94" i="55"/>
  <c r="AI93" i="55"/>
  <c r="AH93" i="55"/>
  <c r="AI90" i="55"/>
  <c r="AH90" i="55"/>
  <c r="AI88" i="55"/>
  <c r="AH88" i="55"/>
  <c r="AG88" i="55"/>
  <c r="AG91" i="55" s="1"/>
  <c r="AI87" i="55"/>
  <c r="AH87" i="55"/>
  <c r="AI86" i="55"/>
  <c r="AH86" i="55"/>
  <c r="AI85" i="55"/>
  <c r="AH85" i="55"/>
  <c r="AG84" i="55"/>
  <c r="AF84" i="55"/>
  <c r="AE5" i="55" s="1"/>
  <c r="AE84" i="55"/>
  <c r="AD5" i="55" s="1"/>
  <c r="AD84" i="55"/>
  <c r="AC84" i="55"/>
  <c r="AC100" i="55" s="1"/>
  <c r="AB84" i="55"/>
  <c r="AB100" i="55" s="1"/>
  <c r="V5" i="55"/>
  <c r="R84" i="55"/>
  <c r="Q5" i="55" s="1"/>
  <c r="Q84" i="55"/>
  <c r="Q100" i="55" s="1"/>
  <c r="P84" i="55"/>
  <c r="O5" i="55" s="1"/>
  <c r="O84" i="55"/>
  <c r="N5" i="55" s="1"/>
  <c r="N84" i="55"/>
  <c r="M84" i="55"/>
  <c r="M100" i="55" s="1"/>
  <c r="L84" i="55"/>
  <c r="L100" i="55" s="1"/>
  <c r="K84" i="55"/>
  <c r="K100" i="55" s="1"/>
  <c r="J84" i="55"/>
  <c r="I5" i="55" s="1"/>
  <c r="I84" i="55"/>
  <c r="I100" i="55" s="1"/>
  <c r="H84" i="55"/>
  <c r="G5" i="55" s="1"/>
  <c r="G84" i="55"/>
  <c r="F5" i="55" s="1"/>
  <c r="F84" i="55"/>
  <c r="E84" i="55"/>
  <c r="E100" i="55" s="1"/>
  <c r="D84" i="55"/>
  <c r="D100" i="55" s="1"/>
  <c r="C84" i="55"/>
  <c r="C100" i="55" s="1"/>
  <c r="B84" i="55"/>
  <c r="B100" i="55" s="1"/>
  <c r="AI83" i="55"/>
  <c r="AH83" i="55"/>
  <c r="AI82" i="55"/>
  <c r="AH82" i="55"/>
  <c r="AI81" i="55"/>
  <c r="AH81" i="55"/>
  <c r="AI80" i="55"/>
  <c r="AH80" i="55"/>
  <c r="AI79" i="55"/>
  <c r="AH79" i="55"/>
  <c r="AI78" i="55"/>
  <c r="AH78" i="55"/>
  <c r="AI77" i="55"/>
  <c r="AH77" i="55"/>
  <c r="AI76" i="55"/>
  <c r="AH76" i="55"/>
  <c r="AI75" i="55"/>
  <c r="AH75" i="55"/>
  <c r="AI74" i="55"/>
  <c r="AH74" i="55"/>
  <c r="AI73" i="55"/>
  <c r="AH73" i="55"/>
  <c r="AG72" i="55"/>
  <c r="AF72" i="55"/>
  <c r="AE72" i="55"/>
  <c r="AD72" i="55"/>
  <c r="AC72" i="55"/>
  <c r="AB72" i="55"/>
  <c r="R72" i="55"/>
  <c r="Q72" i="55"/>
  <c r="P72" i="55"/>
  <c r="O72" i="55"/>
  <c r="N72" i="55"/>
  <c r="M72" i="55"/>
  <c r="L72" i="55"/>
  <c r="B72" i="55"/>
  <c r="AI71" i="55"/>
  <c r="AH71" i="55"/>
  <c r="AI70" i="55"/>
  <c r="AH70" i="55"/>
  <c r="AI69" i="55"/>
  <c r="AH69" i="55"/>
  <c r="AG68" i="55"/>
  <c r="AF68" i="55"/>
  <c r="AE68" i="55"/>
  <c r="AD68" i="55"/>
  <c r="AC68" i="55"/>
  <c r="AB68" i="55"/>
  <c r="R68" i="55"/>
  <c r="Q68" i="55"/>
  <c r="P68" i="55"/>
  <c r="O68" i="55"/>
  <c r="N68" i="55"/>
  <c r="M68" i="55"/>
  <c r="L68" i="55"/>
  <c r="K68" i="55"/>
  <c r="J68" i="55"/>
  <c r="I68" i="55"/>
  <c r="H68" i="55"/>
  <c r="G68" i="55"/>
  <c r="F68" i="55"/>
  <c r="E68" i="55"/>
  <c r="D68" i="55"/>
  <c r="C68" i="55"/>
  <c r="B68" i="55"/>
  <c r="AI67" i="55"/>
  <c r="AH67" i="55"/>
  <c r="AG67" i="55"/>
  <c r="AI66" i="55"/>
  <c r="AH66" i="55"/>
  <c r="AI65" i="55"/>
  <c r="AH65" i="55"/>
  <c r="AI64" i="55"/>
  <c r="AH64" i="55"/>
  <c r="AI63" i="55"/>
  <c r="AH63" i="55"/>
  <c r="AI62" i="55"/>
  <c r="AH62" i="55"/>
  <c r="AI61" i="55"/>
  <c r="AH61" i="55"/>
  <c r="AI60" i="55"/>
  <c r="AH60" i="55"/>
  <c r="AI59" i="55"/>
  <c r="AH59" i="55"/>
  <c r="AI58" i="55"/>
  <c r="AH58" i="55"/>
  <c r="AI57" i="55"/>
  <c r="AH57" i="55"/>
  <c r="AI56" i="55"/>
  <c r="AH56" i="55"/>
  <c r="AI55" i="55"/>
  <c r="AH55" i="55"/>
  <c r="AG54" i="55"/>
  <c r="AF54" i="55"/>
  <c r="AE54" i="55"/>
  <c r="AD54" i="55"/>
  <c r="AC54" i="55"/>
  <c r="AB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E54" i="55"/>
  <c r="D54" i="55"/>
  <c r="C54" i="55"/>
  <c r="B54" i="55"/>
  <c r="AI53" i="55"/>
  <c r="AH53" i="55"/>
  <c r="AI52" i="55"/>
  <c r="AH52" i="55"/>
  <c r="AI51" i="55"/>
  <c r="AH51" i="55"/>
  <c r="AG50" i="55"/>
  <c r="AG89" i="55" s="1"/>
  <c r="AF50" i="55"/>
  <c r="AE50" i="55"/>
  <c r="AD50" i="55"/>
  <c r="AC50" i="55"/>
  <c r="AC89" i="55" s="1"/>
  <c r="AC91" i="55" s="1"/>
  <c r="AB50" i="55"/>
  <c r="R50" i="55"/>
  <c r="Q50" i="55"/>
  <c r="P50" i="55"/>
  <c r="O50" i="55"/>
  <c r="L50" i="55"/>
  <c r="K50" i="55"/>
  <c r="J50" i="55"/>
  <c r="I50" i="55"/>
  <c r="H50" i="55"/>
  <c r="G50" i="55"/>
  <c r="F50" i="55"/>
  <c r="E50" i="55"/>
  <c r="D50" i="55"/>
  <c r="C50" i="55"/>
  <c r="B50" i="55"/>
  <c r="AI48" i="55"/>
  <c r="AH48" i="55"/>
  <c r="AI47" i="55"/>
  <c r="AH47" i="55"/>
  <c r="AI46" i="55"/>
  <c r="AH46" i="55"/>
  <c r="AI45" i="55"/>
  <c r="AH45" i="55"/>
  <c r="AI44" i="55"/>
  <c r="AH44" i="55"/>
  <c r="AI43" i="55"/>
  <c r="AH43" i="55"/>
  <c r="AI42" i="55"/>
  <c r="AH42" i="55"/>
  <c r="AI41" i="55"/>
  <c r="AH41" i="55"/>
  <c r="AI40" i="55"/>
  <c r="AH40" i="55"/>
  <c r="AI39" i="55"/>
  <c r="AH39" i="55"/>
  <c r="AI38" i="55"/>
  <c r="AH38" i="55"/>
  <c r="AI37" i="55"/>
  <c r="AH37" i="55"/>
  <c r="AI36" i="55"/>
  <c r="AH36" i="55"/>
  <c r="AI35" i="55"/>
  <c r="AH35" i="55"/>
  <c r="AI34" i="55"/>
  <c r="AH34" i="55"/>
  <c r="AI33" i="55"/>
  <c r="AH33" i="55"/>
  <c r="AI32" i="55"/>
  <c r="AH32" i="55"/>
  <c r="AI31" i="55"/>
  <c r="AH31" i="55"/>
  <c r="AI30" i="55"/>
  <c r="AH30" i="55"/>
  <c r="AI29" i="55"/>
  <c r="AH29" i="55"/>
  <c r="AI28" i="55"/>
  <c r="AH28" i="55"/>
  <c r="AI27" i="55"/>
  <c r="AH27" i="55"/>
  <c r="AI26" i="55"/>
  <c r="AH26" i="55"/>
  <c r="AI25" i="55"/>
  <c r="AH25" i="55"/>
  <c r="AI24" i="55"/>
  <c r="AH24" i="55"/>
  <c r="AI23" i="55"/>
  <c r="AH23" i="55"/>
  <c r="AI22" i="55"/>
  <c r="AH22" i="55"/>
  <c r="AI21" i="55"/>
  <c r="AH21" i="55"/>
  <c r="AI20" i="55"/>
  <c r="AH20" i="55"/>
  <c r="AI19" i="55"/>
  <c r="AH19" i="55"/>
  <c r="AI18" i="55"/>
  <c r="AH18" i="55"/>
  <c r="AI17" i="55"/>
  <c r="AH17" i="55"/>
  <c r="AI16" i="55"/>
  <c r="AH16" i="55"/>
  <c r="AI15" i="55"/>
  <c r="AH15" i="55"/>
  <c r="AI14" i="55"/>
  <c r="AH14" i="55"/>
  <c r="AI13" i="55"/>
  <c r="AH13" i="55"/>
  <c r="AI12" i="55"/>
  <c r="AH12" i="55"/>
  <c r="AI11" i="55"/>
  <c r="AH11" i="55"/>
  <c r="W7" i="55"/>
  <c r="AB5" i="55"/>
  <c r="Z5" i="55"/>
  <c r="Y5" i="55"/>
  <c r="X5" i="55"/>
  <c r="W5" i="55"/>
  <c r="T5" i="55"/>
  <c r="S5" i="55"/>
  <c r="R5" i="55"/>
  <c r="AG4" i="55"/>
  <c r="K4" i="55"/>
  <c r="E4" i="55"/>
  <c r="H4" i="55" s="1"/>
  <c r="B4" i="55"/>
  <c r="S246" i="55" s="1"/>
  <c r="AG3" i="55"/>
  <c r="AA110" i="54"/>
  <c r="AA99" i="54"/>
  <c r="AA84" i="54"/>
  <c r="AA100" i="54" s="1"/>
  <c r="AA72" i="54"/>
  <c r="AA68" i="54"/>
  <c r="AA54" i="54"/>
  <c r="AA50" i="54"/>
  <c r="AF100" i="55" l="1"/>
  <c r="AF89" i="55"/>
  <c r="AF91" i="55" s="1"/>
  <c r="AX249" i="55" s="1"/>
  <c r="AE100" i="55"/>
  <c r="AE89" i="55"/>
  <c r="AE91" i="55" s="1"/>
  <c r="AE7" i="55" s="1"/>
  <c r="AA5" i="55"/>
  <c r="AB89" i="55"/>
  <c r="AB91" i="55" s="1"/>
  <c r="AB92" i="55" s="1"/>
  <c r="R100" i="55"/>
  <c r="P5" i="55"/>
  <c r="Q89" i="55"/>
  <c r="Q91" i="55" s="1"/>
  <c r="Q92" i="55" s="1"/>
  <c r="P100" i="55"/>
  <c r="P89" i="55"/>
  <c r="P91" i="55" s="1"/>
  <c r="P92" i="55" s="1"/>
  <c r="O89" i="55"/>
  <c r="O91" i="55" s="1"/>
  <c r="O7" i="55" s="1"/>
  <c r="O100" i="55"/>
  <c r="L5" i="55"/>
  <c r="AI72" i="55"/>
  <c r="J100" i="55"/>
  <c r="H5" i="55"/>
  <c r="K5" i="55"/>
  <c r="M89" i="55"/>
  <c r="M91" i="55" s="1"/>
  <c r="M7" i="55" s="1"/>
  <c r="L89" i="55"/>
  <c r="L91" i="55" s="1"/>
  <c r="G89" i="55"/>
  <c r="G91" i="55" s="1"/>
  <c r="G100" i="55"/>
  <c r="J5" i="55"/>
  <c r="K89" i="55"/>
  <c r="K91" i="55" s="1"/>
  <c r="K92" i="55" s="1"/>
  <c r="I89" i="55"/>
  <c r="I91" i="55" s="1"/>
  <c r="I7" i="55" s="1"/>
  <c r="H89" i="55"/>
  <c r="H91" i="55" s="1"/>
  <c r="H100" i="55"/>
  <c r="F89" i="55"/>
  <c r="F91" i="55" s="1"/>
  <c r="F7" i="55" s="1"/>
  <c r="D5" i="55"/>
  <c r="AI68" i="55"/>
  <c r="E89" i="55"/>
  <c r="E91" i="55" s="1"/>
  <c r="E92" i="55" s="1"/>
  <c r="AI54" i="55"/>
  <c r="AH49" i="55"/>
  <c r="C5" i="55"/>
  <c r="C89" i="55"/>
  <c r="C91" i="55" s="1"/>
  <c r="U249" i="55" s="1"/>
  <c r="B5" i="55"/>
  <c r="AH72" i="55"/>
  <c r="D89" i="55"/>
  <c r="D91" i="55" s="1"/>
  <c r="V249" i="55" s="1"/>
  <c r="AF5" i="55"/>
  <c r="D246" i="55"/>
  <c r="Y249" i="55"/>
  <c r="G92" i="55"/>
  <c r="G7" i="55"/>
  <c r="AH54" i="55"/>
  <c r="C92" i="55"/>
  <c r="C7" i="55"/>
  <c r="J232" i="55"/>
  <c r="K232" i="55" s="1"/>
  <c r="L232" i="55" s="1"/>
  <c r="M232" i="55" s="1"/>
  <c r="N232" i="55" s="1"/>
  <c r="O232" i="55" s="1"/>
  <c r="P232" i="55" s="1"/>
  <c r="Q7" i="55"/>
  <c r="AI249" i="55"/>
  <c r="B89" i="55"/>
  <c r="AI50" i="55"/>
  <c r="AO249" i="55"/>
  <c r="F100" i="55"/>
  <c r="E5" i="55"/>
  <c r="U5" i="55"/>
  <c r="AC7" i="55"/>
  <c r="AU249" i="55"/>
  <c r="N89" i="55"/>
  <c r="N91" i="55" s="1"/>
  <c r="AD89" i="55"/>
  <c r="AD91" i="55" s="1"/>
  <c r="R89" i="55"/>
  <c r="R91" i="55" s="1"/>
  <c r="S7" i="55"/>
  <c r="AK249" i="55"/>
  <c r="AD100" i="55"/>
  <c r="AC5" i="55"/>
  <c r="AI99" i="55"/>
  <c r="E7" i="55"/>
  <c r="W249" i="55"/>
  <c r="L92" i="55"/>
  <c r="L7" i="55"/>
  <c r="AD249" i="55"/>
  <c r="T7" i="55"/>
  <c r="AL249" i="55"/>
  <c r="AC92" i="55"/>
  <c r="D235" i="55"/>
  <c r="E230" i="55"/>
  <c r="Y7" i="55"/>
  <c r="AQ249" i="55"/>
  <c r="J89" i="55"/>
  <c r="J91" i="55" s="1"/>
  <c r="AH50" i="55"/>
  <c r="N100" i="55"/>
  <c r="M5" i="55"/>
  <c r="AA7" i="55"/>
  <c r="AS249" i="55"/>
  <c r="U7" i="55"/>
  <c r="AM249" i="55"/>
  <c r="AH99" i="55"/>
  <c r="G229" i="55"/>
  <c r="H92" i="55"/>
  <c r="H7" i="55"/>
  <c r="Z249" i="55"/>
  <c r="X7" i="55"/>
  <c r="AP249" i="55"/>
  <c r="AF7" i="55"/>
  <c r="AI84" i="55"/>
  <c r="E110" i="55"/>
  <c r="E234" i="55"/>
  <c r="AG2" i="55"/>
  <c r="AG6" i="55" s="1"/>
  <c r="AH84" i="55"/>
  <c r="AH68" i="55"/>
  <c r="B235" i="55"/>
  <c r="AA89" i="54"/>
  <c r="AA91" i="54" s="1"/>
  <c r="AA92" i="54" s="1"/>
  <c r="AF92" i="55" l="1"/>
  <c r="AE92" i="55"/>
  <c r="AW249" i="55"/>
  <c r="AT249" i="55"/>
  <c r="AB7" i="55"/>
  <c r="O92" i="55"/>
  <c r="AG249" i="55"/>
  <c r="AH249" i="55"/>
  <c r="P7" i="55"/>
  <c r="AI100" i="55"/>
  <c r="M92" i="55"/>
  <c r="AE249" i="55"/>
  <c r="AH100" i="55"/>
  <c r="I92" i="55"/>
  <c r="AA249" i="55"/>
  <c r="AC249" i="55"/>
  <c r="K7" i="55"/>
  <c r="F92" i="55"/>
  <c r="X249" i="55"/>
  <c r="D7" i="55"/>
  <c r="D92" i="55"/>
  <c r="R92" i="55"/>
  <c r="R7" i="55"/>
  <c r="AJ249" i="55"/>
  <c r="F230" i="55"/>
  <c r="E235" i="55"/>
  <c r="D270" i="55"/>
  <c r="F234" i="55"/>
  <c r="AH89" i="55"/>
  <c r="B91" i="55"/>
  <c r="AI89" i="55"/>
  <c r="AD7" i="55"/>
  <c r="AV249" i="55"/>
  <c r="AD92" i="55"/>
  <c r="J92" i="55"/>
  <c r="J7" i="55"/>
  <c r="AB249" i="55"/>
  <c r="V7" i="55"/>
  <c r="AN249" i="55"/>
  <c r="N7" i="55"/>
  <c r="AF249" i="55"/>
  <c r="N92" i="55"/>
  <c r="B244" i="55"/>
  <c r="Z7" i="55"/>
  <c r="AR249" i="55"/>
  <c r="H229" i="55"/>
  <c r="C244" i="55"/>
  <c r="Z50" i="54"/>
  <c r="Z54" i="54"/>
  <c r="Z68" i="54"/>
  <c r="Z72" i="54"/>
  <c r="Z84" i="54"/>
  <c r="Z100" i="54" s="1"/>
  <c r="Z99" i="54"/>
  <c r="Z110" i="54"/>
  <c r="K6" i="55" l="1"/>
  <c r="E270" i="55"/>
  <c r="G234" i="55"/>
  <c r="F110" i="55"/>
  <c r="I229" i="55"/>
  <c r="G230" i="55"/>
  <c r="F235" i="55"/>
  <c r="B7" i="55"/>
  <c r="A7" i="55" s="1"/>
  <c r="B92" i="55"/>
  <c r="AH91" i="55"/>
  <c r="AI91" i="55"/>
  <c r="T249" i="55"/>
  <c r="Z89" i="54"/>
  <c r="Z91" i="54" s="1"/>
  <c r="Z92" i="54" s="1"/>
  <c r="H230" i="55" l="1"/>
  <c r="G235" i="55"/>
  <c r="J229" i="55"/>
  <c r="AI92" i="55"/>
  <c r="AH92" i="55"/>
  <c r="F270" i="55"/>
  <c r="H234" i="55"/>
  <c r="G110" i="55"/>
  <c r="Y50" i="54"/>
  <c r="Y54" i="54"/>
  <c r="Y68" i="54"/>
  <c r="Y72" i="54"/>
  <c r="Y84" i="54"/>
  <c r="Y100" i="54" s="1"/>
  <c r="Y99" i="54"/>
  <c r="Y110" i="54"/>
  <c r="X50" i="54"/>
  <c r="X54" i="54"/>
  <c r="X68" i="54"/>
  <c r="X72" i="54"/>
  <c r="X84" i="54"/>
  <c r="X100" i="54" s="1"/>
  <c r="X99" i="54"/>
  <c r="X110" i="54"/>
  <c r="W50" i="54"/>
  <c r="W54" i="54"/>
  <c r="W68" i="54"/>
  <c r="W72" i="54"/>
  <c r="W84" i="54"/>
  <c r="W100" i="54" s="1"/>
  <c r="W99" i="54"/>
  <c r="W110" i="54"/>
  <c r="V50" i="54"/>
  <c r="V54" i="54"/>
  <c r="V68" i="54"/>
  <c r="V72" i="54"/>
  <c r="V84" i="54"/>
  <c r="V100" i="54" s="1"/>
  <c r="V99" i="54"/>
  <c r="V110" i="54"/>
  <c r="U50" i="54"/>
  <c r="U54" i="54"/>
  <c r="U68" i="54"/>
  <c r="U72" i="54"/>
  <c r="U84" i="54"/>
  <c r="U100" i="54" s="1"/>
  <c r="U99" i="54"/>
  <c r="U110" i="54"/>
  <c r="U227" i="54"/>
  <c r="T50" i="54"/>
  <c r="T54" i="54"/>
  <c r="T68" i="54"/>
  <c r="T72" i="54"/>
  <c r="T84" i="54"/>
  <c r="T99" i="54"/>
  <c r="T110" i="54"/>
  <c r="S50" i="54"/>
  <c r="S54" i="54"/>
  <c r="S68" i="54"/>
  <c r="S72" i="54"/>
  <c r="S84" i="54"/>
  <c r="S99" i="54"/>
  <c r="S110" i="54"/>
  <c r="S227" i="54"/>
  <c r="R50" i="54"/>
  <c r="R54" i="54"/>
  <c r="R68" i="54"/>
  <c r="R72" i="54"/>
  <c r="R84" i="54"/>
  <c r="R100" i="54" s="1"/>
  <c r="R99" i="54"/>
  <c r="R110" i="54"/>
  <c r="G270" i="55" l="1"/>
  <c r="I234" i="55"/>
  <c r="H110" i="55"/>
  <c r="K229" i="55"/>
  <c r="I230" i="55"/>
  <c r="H235" i="55"/>
  <c r="Y89" i="54"/>
  <c r="Y91" i="54" s="1"/>
  <c r="Y92" i="54" s="1"/>
  <c r="W89" i="54"/>
  <c r="W91" i="54" s="1"/>
  <c r="W92" i="54" s="1"/>
  <c r="X89" i="54"/>
  <c r="X91" i="54" s="1"/>
  <c r="X92" i="54" s="1"/>
  <c r="V89" i="54"/>
  <c r="V91" i="54" s="1"/>
  <c r="V92" i="54" s="1"/>
  <c r="U89" i="54"/>
  <c r="U91" i="54" s="1"/>
  <c r="U92" i="54" s="1"/>
  <c r="T89" i="54"/>
  <c r="T91" i="54" s="1"/>
  <c r="T92" i="54" s="1"/>
  <c r="T100" i="54"/>
  <c r="S89" i="54"/>
  <c r="S91" i="54" s="1"/>
  <c r="S92" i="54" s="1"/>
  <c r="S100" i="54"/>
  <c r="R89" i="54"/>
  <c r="R91" i="54" s="1"/>
  <c r="R92" i="54" s="1"/>
  <c r="O50" i="54"/>
  <c r="P50" i="54"/>
  <c r="J230" i="55" l="1"/>
  <c r="L229" i="55"/>
  <c r="H270" i="55"/>
  <c r="J234" i="55"/>
  <c r="I110" i="55"/>
  <c r="L113" i="54"/>
  <c r="L49" i="54"/>
  <c r="AH49" i="54" s="1"/>
  <c r="K113" i="54"/>
  <c r="K49" i="54"/>
  <c r="J113" i="54"/>
  <c r="J49" i="54"/>
  <c r="I113" i="54"/>
  <c r="I49" i="54"/>
  <c r="H113" i="54"/>
  <c r="G113" i="54"/>
  <c r="F113" i="54"/>
  <c r="AF274" i="54"/>
  <c r="AE274" i="54"/>
  <c r="AD274" i="54"/>
  <c r="AC274" i="54"/>
  <c r="AB274" i="54"/>
  <c r="AA274" i="54"/>
  <c r="Z274" i="54"/>
  <c r="Y274" i="54"/>
  <c r="X274" i="54"/>
  <c r="W274" i="54"/>
  <c r="V274" i="54"/>
  <c r="U274" i="54"/>
  <c r="T274" i="54"/>
  <c r="S274" i="54"/>
  <c r="R274" i="54"/>
  <c r="Q274" i="54"/>
  <c r="P274" i="54"/>
  <c r="O274" i="54"/>
  <c r="N274" i="54"/>
  <c r="M274" i="54"/>
  <c r="L274" i="54"/>
  <c r="K274" i="54"/>
  <c r="J274" i="54"/>
  <c r="I274" i="54"/>
  <c r="H274" i="54"/>
  <c r="G274" i="54"/>
  <c r="F274" i="54"/>
  <c r="E274" i="54"/>
  <c r="D274" i="54"/>
  <c r="C274" i="54"/>
  <c r="B274" i="54"/>
  <c r="A274" i="54"/>
  <c r="AF273" i="54"/>
  <c r="AE273" i="54"/>
  <c r="AD273" i="54"/>
  <c r="AC273" i="54"/>
  <c r="AB273" i="54"/>
  <c r="AA273" i="54"/>
  <c r="Z273" i="54"/>
  <c r="Y273" i="54"/>
  <c r="X273" i="54"/>
  <c r="W273" i="54"/>
  <c r="V273" i="54"/>
  <c r="U273" i="54"/>
  <c r="T273" i="54"/>
  <c r="S273" i="54"/>
  <c r="R273" i="54"/>
  <c r="Q273" i="54"/>
  <c r="P273" i="54"/>
  <c r="O273" i="54"/>
  <c r="N273" i="54"/>
  <c r="M273" i="54"/>
  <c r="L273" i="54"/>
  <c r="K273" i="54"/>
  <c r="J273" i="54"/>
  <c r="I273" i="54"/>
  <c r="H273" i="54"/>
  <c r="G273" i="54"/>
  <c r="F273" i="54"/>
  <c r="E273" i="54"/>
  <c r="D273" i="54"/>
  <c r="C273" i="54"/>
  <c r="B273" i="54"/>
  <c r="A273" i="54"/>
  <c r="AF272" i="54"/>
  <c r="AE272" i="54"/>
  <c r="AD272" i="54"/>
  <c r="AC272" i="54"/>
  <c r="AB272" i="54"/>
  <c r="AA272" i="54"/>
  <c r="Z272" i="54"/>
  <c r="Y272" i="54"/>
  <c r="X272" i="54"/>
  <c r="W272" i="54"/>
  <c r="V272" i="54"/>
  <c r="U272" i="54"/>
  <c r="T272" i="54"/>
  <c r="S272" i="54"/>
  <c r="R272" i="54"/>
  <c r="Q272" i="54"/>
  <c r="P272" i="54"/>
  <c r="O272" i="54"/>
  <c r="N272" i="54"/>
  <c r="M272" i="54"/>
  <c r="L272" i="54"/>
  <c r="K272" i="54"/>
  <c r="J272" i="54"/>
  <c r="I272" i="54"/>
  <c r="H272" i="54"/>
  <c r="G272" i="54"/>
  <c r="F272" i="54"/>
  <c r="E272" i="54"/>
  <c r="D272" i="54"/>
  <c r="C272" i="54"/>
  <c r="B272" i="54"/>
  <c r="A272" i="54"/>
  <c r="AF271" i="54"/>
  <c r="AE271" i="54"/>
  <c r="AD271" i="54"/>
  <c r="AC271" i="54"/>
  <c r="AB271" i="54"/>
  <c r="AA271" i="54"/>
  <c r="Z271" i="54"/>
  <c r="Y271" i="54"/>
  <c r="X271" i="54"/>
  <c r="W271" i="54"/>
  <c r="V271" i="54"/>
  <c r="U271" i="54"/>
  <c r="T271" i="54"/>
  <c r="S271" i="54"/>
  <c r="R271" i="54"/>
  <c r="Q271" i="54"/>
  <c r="P271" i="54"/>
  <c r="O271" i="54"/>
  <c r="N271" i="54"/>
  <c r="M271" i="54"/>
  <c r="L271" i="54"/>
  <c r="K271" i="54"/>
  <c r="J271" i="54"/>
  <c r="I271" i="54"/>
  <c r="H271" i="54"/>
  <c r="G271" i="54"/>
  <c r="F271" i="54"/>
  <c r="E271" i="54"/>
  <c r="D271" i="54"/>
  <c r="C271" i="54"/>
  <c r="B271" i="54"/>
  <c r="A271" i="54"/>
  <c r="AE270" i="54"/>
  <c r="AD270" i="54"/>
  <c r="AC270" i="54"/>
  <c r="AB270" i="54"/>
  <c r="AA270" i="54"/>
  <c r="Z270" i="54"/>
  <c r="Y270" i="54"/>
  <c r="X270" i="54"/>
  <c r="W270" i="54"/>
  <c r="V270" i="54"/>
  <c r="U270" i="54"/>
  <c r="T270" i="54"/>
  <c r="S270" i="54"/>
  <c r="R270" i="54"/>
  <c r="Q270" i="54"/>
  <c r="P270" i="54"/>
  <c r="B270" i="54"/>
  <c r="S245" i="54"/>
  <c r="AG235" i="54"/>
  <c r="AF235" i="54"/>
  <c r="AE235" i="54"/>
  <c r="AD235" i="54"/>
  <c r="AC235" i="54"/>
  <c r="AB235" i="54"/>
  <c r="AA235" i="54"/>
  <c r="Z235" i="54"/>
  <c r="Y235" i="54"/>
  <c r="X235" i="54"/>
  <c r="W235" i="54"/>
  <c r="V235" i="54"/>
  <c r="U235" i="54"/>
  <c r="T235" i="54"/>
  <c r="S235" i="54"/>
  <c r="R235" i="54"/>
  <c r="Q235" i="54"/>
  <c r="D235" i="54"/>
  <c r="C235" i="54"/>
  <c r="D234" i="54"/>
  <c r="C270" i="54" s="1"/>
  <c r="B234" i="54"/>
  <c r="AF270" i="54" s="1"/>
  <c r="E233" i="54"/>
  <c r="F233" i="54" s="1"/>
  <c r="G233" i="54" s="1"/>
  <c r="H233" i="54" s="1"/>
  <c r="I233" i="54" s="1"/>
  <c r="J233" i="54" s="1"/>
  <c r="K233" i="54" s="1"/>
  <c r="L233" i="54" s="1"/>
  <c r="M233" i="54" s="1"/>
  <c r="N233" i="54" s="1"/>
  <c r="O233" i="54" s="1"/>
  <c r="P233" i="54" s="1"/>
  <c r="D233" i="54"/>
  <c r="B233" i="54"/>
  <c r="D232" i="54"/>
  <c r="E232" i="54" s="1"/>
  <c r="F232" i="54" s="1"/>
  <c r="G232" i="54" s="1"/>
  <c r="H232" i="54" s="1"/>
  <c r="I232" i="54" s="1"/>
  <c r="B232" i="54"/>
  <c r="E231" i="54"/>
  <c r="F231" i="54" s="1"/>
  <c r="G231" i="54" s="1"/>
  <c r="H231" i="54" s="1"/>
  <c r="D231" i="54"/>
  <c r="B231" i="54"/>
  <c r="D230" i="54"/>
  <c r="E230" i="54" s="1"/>
  <c r="F230" i="54" s="1"/>
  <c r="G230" i="54" s="1"/>
  <c r="H230" i="54" s="1"/>
  <c r="I230" i="54" s="1"/>
  <c r="J230" i="54" s="1"/>
  <c r="K230" i="54" s="1"/>
  <c r="L230" i="54" s="1"/>
  <c r="M230" i="54" s="1"/>
  <c r="N230" i="54" s="1"/>
  <c r="O230" i="54" s="1"/>
  <c r="P230" i="54" s="1"/>
  <c r="B230" i="54"/>
  <c r="E229" i="54"/>
  <c r="F229" i="54" s="1"/>
  <c r="D229" i="54"/>
  <c r="B229" i="54"/>
  <c r="B235" i="54" s="1"/>
  <c r="AG227" i="54"/>
  <c r="AF227" i="54"/>
  <c r="AE227" i="54"/>
  <c r="AD227" i="54"/>
  <c r="AC227" i="54"/>
  <c r="AB227" i="54"/>
  <c r="AA227" i="54"/>
  <c r="Z227" i="54"/>
  <c r="Y227" i="54"/>
  <c r="X227" i="54"/>
  <c r="W227" i="54"/>
  <c r="V227" i="54"/>
  <c r="T227" i="54"/>
  <c r="R227" i="54"/>
  <c r="Q227" i="54"/>
  <c r="P227" i="54"/>
  <c r="O227" i="54"/>
  <c r="N227" i="54"/>
  <c r="M227" i="54"/>
  <c r="L227" i="54"/>
  <c r="K227" i="54"/>
  <c r="J227" i="54"/>
  <c r="I227" i="54"/>
  <c r="H227" i="54"/>
  <c r="G227" i="54"/>
  <c r="F227" i="54"/>
  <c r="E227" i="54"/>
  <c r="D227" i="54"/>
  <c r="C227" i="54"/>
  <c r="B227" i="54"/>
  <c r="AI120" i="54"/>
  <c r="AH120" i="54"/>
  <c r="AI119" i="54"/>
  <c r="AH119" i="54"/>
  <c r="AI118" i="54"/>
  <c r="AH118" i="54"/>
  <c r="AI117" i="54"/>
  <c r="AH117" i="54"/>
  <c r="AI116" i="54"/>
  <c r="AH116" i="54"/>
  <c r="AI115" i="54"/>
  <c r="AH115" i="54"/>
  <c r="AI114" i="54"/>
  <c r="AH114" i="54"/>
  <c r="AI112" i="54"/>
  <c r="AH112" i="54"/>
  <c r="AI111" i="54"/>
  <c r="AH111" i="54"/>
  <c r="AF110" i="54"/>
  <c r="AE110" i="54"/>
  <c r="AC110" i="54"/>
  <c r="AB110" i="54"/>
  <c r="Q110" i="54"/>
  <c r="D110" i="54"/>
  <c r="C110" i="54"/>
  <c r="AI109" i="54"/>
  <c r="AH109" i="54"/>
  <c r="AI108" i="54"/>
  <c r="AH108" i="54"/>
  <c r="AI107" i="54"/>
  <c r="AH107" i="54"/>
  <c r="AI106" i="54"/>
  <c r="AH106" i="54"/>
  <c r="AI105" i="54"/>
  <c r="AH105" i="54"/>
  <c r="AI104" i="54"/>
  <c r="AH104" i="54"/>
  <c r="AI103" i="54"/>
  <c r="AH103" i="54"/>
  <c r="AI102" i="54"/>
  <c r="AH102" i="54"/>
  <c r="AI101" i="54"/>
  <c r="AH101" i="54"/>
  <c r="AF99" i="54"/>
  <c r="AE99" i="54"/>
  <c r="AD99" i="54"/>
  <c r="AC99" i="54"/>
  <c r="AB99" i="54"/>
  <c r="Q99" i="54"/>
  <c r="P99" i="54"/>
  <c r="O99" i="54"/>
  <c r="N99" i="54"/>
  <c r="M99" i="54"/>
  <c r="L99" i="54"/>
  <c r="K99" i="54"/>
  <c r="J99" i="54"/>
  <c r="I99" i="54"/>
  <c r="H99" i="54"/>
  <c r="G99" i="54"/>
  <c r="F99" i="54"/>
  <c r="E99" i="54"/>
  <c r="D99" i="54"/>
  <c r="C99" i="54"/>
  <c r="B99" i="54"/>
  <c r="AI98" i="54"/>
  <c r="AH98" i="54"/>
  <c r="AI97" i="54"/>
  <c r="AH97" i="54"/>
  <c r="AI96" i="54"/>
  <c r="AH96" i="54"/>
  <c r="AI95" i="54"/>
  <c r="AH95" i="54"/>
  <c r="AI94" i="54"/>
  <c r="AH94" i="54"/>
  <c r="AI93" i="54"/>
  <c r="AH93" i="54"/>
  <c r="R7" i="54"/>
  <c r="AI90" i="54"/>
  <c r="AH90" i="54"/>
  <c r="AI88" i="54"/>
  <c r="AH88" i="54"/>
  <c r="AG88" i="54"/>
  <c r="AG91" i="54" s="1"/>
  <c r="AI87" i="54"/>
  <c r="AH87" i="54"/>
  <c r="AI86" i="54"/>
  <c r="AH86" i="54"/>
  <c r="AI85" i="54"/>
  <c r="AH85" i="54"/>
  <c r="AG84" i="54"/>
  <c r="AF100" i="54"/>
  <c r="AE84" i="54"/>
  <c r="AD5" i="54" s="1"/>
  <c r="AD84" i="54"/>
  <c r="AD100" i="54" s="1"/>
  <c r="AC84" i="54"/>
  <c r="AC100" i="54" s="1"/>
  <c r="AB84" i="54"/>
  <c r="AB100" i="54" s="1"/>
  <c r="Q84" i="54"/>
  <c r="Q100" i="54" s="1"/>
  <c r="P84" i="54"/>
  <c r="O84" i="54"/>
  <c r="N5" i="54" s="1"/>
  <c r="N84" i="54"/>
  <c r="N100" i="54" s="1"/>
  <c r="M84" i="54"/>
  <c r="L84" i="54"/>
  <c r="K84" i="54"/>
  <c r="J5" i="54" s="1"/>
  <c r="J84" i="54"/>
  <c r="I5" i="54" s="1"/>
  <c r="I84" i="54"/>
  <c r="I100" i="54" s="1"/>
  <c r="H84" i="54"/>
  <c r="H100" i="54" s="1"/>
  <c r="G84" i="54"/>
  <c r="F5" i="54" s="1"/>
  <c r="F84" i="54"/>
  <c r="E5" i="54" s="1"/>
  <c r="E84" i="54"/>
  <c r="E100" i="54" s="1"/>
  <c r="D84" i="54"/>
  <c r="D100" i="54" s="1"/>
  <c r="C84" i="54"/>
  <c r="B5" i="54" s="1"/>
  <c r="B84" i="54"/>
  <c r="B100" i="54" s="1"/>
  <c r="AI83" i="54"/>
  <c r="AH83" i="54"/>
  <c r="AI82" i="54"/>
  <c r="AH82" i="54"/>
  <c r="AI81" i="54"/>
  <c r="AH81" i="54"/>
  <c r="AI80" i="54"/>
  <c r="AH80" i="54"/>
  <c r="AI79" i="54"/>
  <c r="AH79" i="54"/>
  <c r="AI78" i="54"/>
  <c r="AH78" i="54"/>
  <c r="AI77" i="54"/>
  <c r="AH77" i="54"/>
  <c r="AI76" i="54"/>
  <c r="AH76" i="54"/>
  <c r="AI75" i="54"/>
  <c r="AH75" i="54"/>
  <c r="AI74" i="54"/>
  <c r="AH74" i="54"/>
  <c r="AI73" i="54"/>
  <c r="AH73" i="54"/>
  <c r="AG72" i="54"/>
  <c r="AG4" i="54" s="1"/>
  <c r="AE72" i="54"/>
  <c r="AD72" i="54"/>
  <c r="AC72" i="54"/>
  <c r="AB72" i="54"/>
  <c r="Q72" i="54"/>
  <c r="P72" i="54"/>
  <c r="O72" i="54"/>
  <c r="N72" i="54"/>
  <c r="M72" i="54"/>
  <c r="L72" i="54"/>
  <c r="B72" i="54"/>
  <c r="AI71" i="54"/>
  <c r="AH71" i="54"/>
  <c r="AI70" i="54"/>
  <c r="AH70" i="54"/>
  <c r="AI69" i="54"/>
  <c r="AH69" i="54"/>
  <c r="AG68" i="54"/>
  <c r="AE68" i="54"/>
  <c r="AD68" i="54"/>
  <c r="AC68" i="54"/>
  <c r="AB68" i="54"/>
  <c r="Q68" i="54"/>
  <c r="P68" i="54"/>
  <c r="O68" i="54"/>
  <c r="N68" i="54"/>
  <c r="M68" i="54"/>
  <c r="L68" i="54"/>
  <c r="K68" i="54"/>
  <c r="J68" i="54"/>
  <c r="I68" i="54"/>
  <c r="H68" i="54"/>
  <c r="G68" i="54"/>
  <c r="F68" i="54"/>
  <c r="E68" i="54"/>
  <c r="D68" i="54"/>
  <c r="C68" i="54"/>
  <c r="B68" i="54"/>
  <c r="AI67" i="54"/>
  <c r="AH67" i="54"/>
  <c r="AG67" i="54"/>
  <c r="AI66" i="54"/>
  <c r="AH66" i="54"/>
  <c r="AI65" i="54"/>
  <c r="AH65" i="54"/>
  <c r="AI64" i="54"/>
  <c r="AH64" i="54"/>
  <c r="AI63" i="54"/>
  <c r="AH63" i="54"/>
  <c r="AI62" i="54"/>
  <c r="AH62" i="54"/>
  <c r="AI61" i="54"/>
  <c r="AH61" i="54"/>
  <c r="AI60" i="54"/>
  <c r="AH60" i="54"/>
  <c r="AI59" i="54"/>
  <c r="AH59" i="54"/>
  <c r="AI58" i="54"/>
  <c r="AH58" i="54"/>
  <c r="AI57" i="54"/>
  <c r="AH57" i="54"/>
  <c r="AI56" i="54"/>
  <c r="AH56" i="54"/>
  <c r="AI55" i="54"/>
  <c r="AH55" i="54"/>
  <c r="AG54" i="54"/>
  <c r="AF54" i="54"/>
  <c r="AE54" i="54"/>
  <c r="AD54" i="54"/>
  <c r="AC54" i="54"/>
  <c r="AB54" i="54"/>
  <c r="Q54" i="54"/>
  <c r="P54" i="54"/>
  <c r="O54" i="54"/>
  <c r="N54" i="54"/>
  <c r="M54" i="54"/>
  <c r="L54" i="54"/>
  <c r="K54" i="54"/>
  <c r="J54" i="54"/>
  <c r="I54" i="54"/>
  <c r="H54" i="54"/>
  <c r="G54" i="54"/>
  <c r="F54" i="54"/>
  <c r="E54" i="54"/>
  <c r="D54" i="54"/>
  <c r="C54" i="54"/>
  <c r="B54" i="54"/>
  <c r="AI53" i="54"/>
  <c r="AH53" i="54"/>
  <c r="AI52" i="54"/>
  <c r="AH52" i="54"/>
  <c r="AI51" i="54"/>
  <c r="AH51" i="54"/>
  <c r="AG50" i="54"/>
  <c r="AF50" i="54"/>
  <c r="AE50" i="54"/>
  <c r="AD50" i="54"/>
  <c r="AC50" i="54"/>
  <c r="AB50" i="54"/>
  <c r="Q50" i="54"/>
  <c r="N50" i="54"/>
  <c r="M50" i="54"/>
  <c r="L50" i="54"/>
  <c r="K50" i="54"/>
  <c r="J50" i="54"/>
  <c r="I50" i="54"/>
  <c r="H50" i="54"/>
  <c r="G50" i="54"/>
  <c r="F50" i="54"/>
  <c r="E50" i="54"/>
  <c r="D50" i="54"/>
  <c r="C50" i="54"/>
  <c r="B50" i="54"/>
  <c r="AI49" i="54"/>
  <c r="AI48" i="54"/>
  <c r="AH48" i="54"/>
  <c r="AI47" i="54"/>
  <c r="AH47" i="54"/>
  <c r="AI46" i="54"/>
  <c r="AH46" i="54"/>
  <c r="AI45" i="54"/>
  <c r="AH45" i="54"/>
  <c r="AI44" i="54"/>
  <c r="AH44" i="54"/>
  <c r="AI43" i="54"/>
  <c r="AH43" i="54"/>
  <c r="AI42" i="54"/>
  <c r="AH42" i="54"/>
  <c r="AI41" i="54"/>
  <c r="AH41" i="54"/>
  <c r="AI40" i="54"/>
  <c r="AH40" i="54"/>
  <c r="AI39" i="54"/>
  <c r="AH39" i="54"/>
  <c r="AI38" i="54"/>
  <c r="AH38" i="54"/>
  <c r="AI37" i="54"/>
  <c r="AH37" i="54"/>
  <c r="AI36" i="54"/>
  <c r="AH36" i="54"/>
  <c r="AI35" i="54"/>
  <c r="AH35" i="54"/>
  <c r="AI34" i="54"/>
  <c r="AH34" i="54"/>
  <c r="AI33" i="54"/>
  <c r="AH33" i="54"/>
  <c r="AI32" i="54"/>
  <c r="AH32" i="54"/>
  <c r="AI31" i="54"/>
  <c r="AH31" i="54"/>
  <c r="AI30" i="54"/>
  <c r="AH30" i="54"/>
  <c r="AI29" i="54"/>
  <c r="AH29" i="54"/>
  <c r="AI28" i="54"/>
  <c r="AH28" i="54"/>
  <c r="AI27" i="54"/>
  <c r="AH27" i="54"/>
  <c r="AI26" i="54"/>
  <c r="AH26" i="54"/>
  <c r="AI25" i="54"/>
  <c r="AH25" i="54"/>
  <c r="AI24" i="54"/>
  <c r="AH24" i="54"/>
  <c r="AI23" i="54"/>
  <c r="AH23" i="54"/>
  <c r="AI22" i="54"/>
  <c r="AH22" i="54"/>
  <c r="AI21" i="54"/>
  <c r="AH21" i="54"/>
  <c r="AI20" i="54"/>
  <c r="AH20" i="54"/>
  <c r="AI19" i="54"/>
  <c r="AH19" i="54"/>
  <c r="AI18" i="54"/>
  <c r="AH18" i="54"/>
  <c r="AI17" i="54"/>
  <c r="AH17" i="54"/>
  <c r="AI16" i="54"/>
  <c r="AH16" i="54"/>
  <c r="AI15" i="54"/>
  <c r="AH15" i="54"/>
  <c r="AI14" i="54"/>
  <c r="AH14" i="54"/>
  <c r="AI13" i="54"/>
  <c r="AH13" i="54"/>
  <c r="AI12" i="54"/>
  <c r="AH12" i="54"/>
  <c r="AI11" i="54"/>
  <c r="AH11" i="54"/>
  <c r="Z7" i="54"/>
  <c r="V7" i="54"/>
  <c r="Z5" i="54"/>
  <c r="Y5" i="54"/>
  <c r="X5" i="54"/>
  <c r="W5" i="54"/>
  <c r="V5" i="54"/>
  <c r="U5" i="54"/>
  <c r="T5" i="54"/>
  <c r="R5" i="54"/>
  <c r="Q5" i="54"/>
  <c r="O5" i="54"/>
  <c r="K4" i="54"/>
  <c r="E4" i="54"/>
  <c r="H4" i="54" s="1"/>
  <c r="B4" i="54"/>
  <c r="D246" i="54" s="1"/>
  <c r="AG3" i="54"/>
  <c r="AB49" i="53"/>
  <c r="Z49" i="53"/>
  <c r="AA49" i="53"/>
  <c r="K234" i="55" l="1"/>
  <c r="I270" i="55"/>
  <c r="J110" i="55"/>
  <c r="M229" i="55"/>
  <c r="K230" i="55"/>
  <c r="AE89" i="54"/>
  <c r="AE91" i="54" s="1"/>
  <c r="AE92" i="54" s="1"/>
  <c r="AE100" i="54"/>
  <c r="AE5" i="54"/>
  <c r="AC5" i="54"/>
  <c r="AD89" i="54"/>
  <c r="AD91" i="54" s="1"/>
  <c r="AV249" i="54" s="1"/>
  <c r="AB5" i="54"/>
  <c r="AC89" i="54"/>
  <c r="AC91" i="54" s="1"/>
  <c r="AC7" i="54" s="1"/>
  <c r="AB89" i="54"/>
  <c r="AB91" i="54" s="1"/>
  <c r="AB92" i="54" s="1"/>
  <c r="W7" i="54"/>
  <c r="AO249" i="54"/>
  <c r="P100" i="54"/>
  <c r="P89" i="54"/>
  <c r="P91" i="54" s="1"/>
  <c r="P92" i="54" s="1"/>
  <c r="O100" i="54"/>
  <c r="O89" i="54"/>
  <c r="O91" i="54" s="1"/>
  <c r="O7" i="54" s="1"/>
  <c r="M100" i="54"/>
  <c r="N89" i="54"/>
  <c r="N91" i="54" s="1"/>
  <c r="N7" i="54" s="1"/>
  <c r="M5" i="54"/>
  <c r="L5" i="54"/>
  <c r="M89" i="54"/>
  <c r="M91" i="54" s="1"/>
  <c r="M92" i="54" s="1"/>
  <c r="L100" i="54"/>
  <c r="L89" i="54"/>
  <c r="L91" i="54" s="1"/>
  <c r="L7" i="54" s="1"/>
  <c r="K100" i="54"/>
  <c r="K89" i="54"/>
  <c r="K91" i="54" s="1"/>
  <c r="J100" i="54"/>
  <c r="J89" i="54"/>
  <c r="J91" i="54" s="1"/>
  <c r="J7" i="54" s="1"/>
  <c r="I89" i="54"/>
  <c r="I91" i="54" s="1"/>
  <c r="G5" i="54"/>
  <c r="H89" i="54"/>
  <c r="H91" i="54" s="1"/>
  <c r="H92" i="54" s="1"/>
  <c r="AI113" i="54"/>
  <c r="G100" i="54"/>
  <c r="G89" i="54"/>
  <c r="G91" i="54" s="1"/>
  <c r="Y249" i="54" s="1"/>
  <c r="AH113" i="54"/>
  <c r="AI99" i="54"/>
  <c r="F100" i="54"/>
  <c r="AI100" i="54" s="1"/>
  <c r="F89" i="54"/>
  <c r="F91" i="54" s="1"/>
  <c r="X249" i="54" s="1"/>
  <c r="D5" i="54"/>
  <c r="E89" i="54"/>
  <c r="E91" i="54" s="1"/>
  <c r="E7" i="54" s="1"/>
  <c r="AH54" i="54"/>
  <c r="D89" i="54"/>
  <c r="D91" i="54" s="1"/>
  <c r="AI68" i="54"/>
  <c r="C100" i="54"/>
  <c r="C89" i="54"/>
  <c r="C91" i="54" s="1"/>
  <c r="B89" i="54"/>
  <c r="B91" i="54" s="1"/>
  <c r="B7" i="54" s="1"/>
  <c r="AF5" i="54"/>
  <c r="D7" i="54"/>
  <c r="V249" i="54"/>
  <c r="D92" i="54"/>
  <c r="T7" i="54"/>
  <c r="AL249" i="54"/>
  <c r="AA7" i="54"/>
  <c r="AS249" i="54"/>
  <c r="U7" i="54"/>
  <c r="AM249" i="54"/>
  <c r="J232" i="54"/>
  <c r="K232" i="54" s="1"/>
  <c r="L232" i="54" s="1"/>
  <c r="M232" i="54" s="1"/>
  <c r="N232" i="54" s="1"/>
  <c r="O232" i="54" s="1"/>
  <c r="P232" i="54" s="1"/>
  <c r="AI84" i="54"/>
  <c r="AR249" i="54"/>
  <c r="G229" i="54"/>
  <c r="AP249" i="54"/>
  <c r="X7" i="54"/>
  <c r="C92" i="54"/>
  <c r="C7" i="54"/>
  <c r="U249" i="54"/>
  <c r="S7" i="54"/>
  <c r="AK249" i="54"/>
  <c r="I92" i="54"/>
  <c r="I7" i="54"/>
  <c r="AA249" i="54"/>
  <c r="AG89" i="54"/>
  <c r="AI72" i="54"/>
  <c r="F92" i="54"/>
  <c r="AN249" i="54"/>
  <c r="B92" i="54"/>
  <c r="T249" i="54"/>
  <c r="Q89" i="54"/>
  <c r="Q91" i="54" s="1"/>
  <c r="K92" i="54"/>
  <c r="K7" i="54"/>
  <c r="AC249" i="54"/>
  <c r="AJ249" i="54"/>
  <c r="Z249" i="54"/>
  <c r="H7" i="54"/>
  <c r="AX249" i="54"/>
  <c r="AF7" i="54"/>
  <c r="P5" i="54"/>
  <c r="F7" i="54"/>
  <c r="AI50" i="54"/>
  <c r="H5" i="54"/>
  <c r="AH68" i="54"/>
  <c r="AH72" i="54"/>
  <c r="J92" i="54"/>
  <c r="AB249" i="54"/>
  <c r="AH50" i="54"/>
  <c r="AI54" i="54"/>
  <c r="AH99" i="54"/>
  <c r="E110" i="54"/>
  <c r="E234" i="54"/>
  <c r="S246" i="54"/>
  <c r="E235" i="54"/>
  <c r="AG2" i="54"/>
  <c r="AG6" i="54" s="1"/>
  <c r="C5" i="54"/>
  <c r="K5" i="54"/>
  <c r="S5" i="54"/>
  <c r="AA5" i="54"/>
  <c r="AH100" i="54"/>
  <c r="AH84" i="54"/>
  <c r="B110" i="54"/>
  <c r="L230" i="55" l="1"/>
  <c r="N229" i="55"/>
  <c r="L234" i="55"/>
  <c r="J270" i="55"/>
  <c r="K110" i="55"/>
  <c r="AT249" i="54"/>
  <c r="AE7" i="54"/>
  <c r="AW249" i="54"/>
  <c r="AD7" i="54"/>
  <c r="AD92" i="54"/>
  <c r="AC92" i="54"/>
  <c r="AU249" i="54"/>
  <c r="AB7" i="54"/>
  <c r="N92" i="54"/>
  <c r="AF249" i="54"/>
  <c r="P7" i="54"/>
  <c r="AG249" i="54"/>
  <c r="O92" i="54"/>
  <c r="AH249" i="54"/>
  <c r="AH89" i="54"/>
  <c r="M7" i="54"/>
  <c r="AE249" i="54"/>
  <c r="L92" i="54"/>
  <c r="AD249" i="54"/>
  <c r="B244" i="54"/>
  <c r="G92" i="54"/>
  <c r="C244" i="54"/>
  <c r="G7" i="54"/>
  <c r="E92" i="54"/>
  <c r="W249" i="54"/>
  <c r="AI91" i="54"/>
  <c r="AI89" i="54"/>
  <c r="Q92" i="54"/>
  <c r="Q7" i="54"/>
  <c r="AI249" i="54"/>
  <c r="H229" i="54"/>
  <c r="Y7" i="54"/>
  <c r="AQ249" i="54"/>
  <c r="D270" i="54"/>
  <c r="F234" i="54"/>
  <c r="AH91" i="54"/>
  <c r="K270" i="55" l="1"/>
  <c r="M234" i="55"/>
  <c r="L110" i="55"/>
  <c r="O229" i="55"/>
  <c r="M230" i="55"/>
  <c r="A7" i="54"/>
  <c r="AI92" i="54"/>
  <c r="K6" i="54"/>
  <c r="AH92" i="54"/>
  <c r="G234" i="54"/>
  <c r="E270" i="54"/>
  <c r="F110" i="54"/>
  <c r="F235" i="54"/>
  <c r="I229" i="54"/>
  <c r="N230" i="55" l="1"/>
  <c r="P229" i="55"/>
  <c r="L270" i="55"/>
  <c r="N234" i="55"/>
  <c r="M110" i="55"/>
  <c r="J229" i="54"/>
  <c r="F270" i="54"/>
  <c r="H234" i="54"/>
  <c r="G110" i="54"/>
  <c r="G235" i="54"/>
  <c r="O234" i="55" l="1"/>
  <c r="M270" i="55"/>
  <c r="N110" i="55"/>
  <c r="O230" i="55"/>
  <c r="G270" i="54"/>
  <c r="I234" i="54"/>
  <c r="H110" i="54"/>
  <c r="H235" i="54"/>
  <c r="K229" i="54"/>
  <c r="P230" i="55" l="1"/>
  <c r="N270" i="55"/>
  <c r="P234" i="55"/>
  <c r="O270" i="55" s="1"/>
  <c r="O110" i="55"/>
  <c r="J234" i="54"/>
  <c r="H270" i="54"/>
  <c r="I110" i="54"/>
  <c r="L229" i="54"/>
  <c r="AH110" i="55" l="1"/>
  <c r="AI110" i="55"/>
  <c r="M229" i="54"/>
  <c r="I270" i="54"/>
  <c r="K234" i="54"/>
  <c r="J110" i="54"/>
  <c r="L234" i="54" l="1"/>
  <c r="J270" i="54"/>
  <c r="K110" i="54"/>
  <c r="N229" i="54"/>
  <c r="K270" i="54" l="1"/>
  <c r="M234" i="54"/>
  <c r="L110" i="54"/>
  <c r="O229" i="54"/>
  <c r="P229" i="54" l="1"/>
  <c r="L270" i="54"/>
  <c r="N234" i="54"/>
  <c r="M110" i="54"/>
  <c r="O234" i="54" l="1"/>
  <c r="M270" i="54"/>
  <c r="N110" i="54"/>
  <c r="N270" i="54" l="1"/>
  <c r="P234" i="54"/>
  <c r="O270" i="54" s="1"/>
  <c r="O110" i="54"/>
  <c r="AI110" i="54" l="1"/>
  <c r="AH110" i="54"/>
  <c r="Y49" i="53" l="1"/>
  <c r="T84" i="53"/>
  <c r="L113" i="53"/>
  <c r="L39" i="53"/>
  <c r="L49" i="53"/>
  <c r="K113" i="53" l="1"/>
  <c r="K49" i="53"/>
  <c r="K39" i="53"/>
  <c r="J113" i="53"/>
  <c r="J49" i="53"/>
  <c r="H49" i="53"/>
  <c r="G113" i="53"/>
  <c r="G49" i="53"/>
  <c r="F49" i="53"/>
  <c r="E113" i="53"/>
  <c r="E49" i="53"/>
  <c r="D113" i="53" l="1"/>
  <c r="D49" i="53"/>
  <c r="D50" i="53"/>
  <c r="D54" i="53"/>
  <c r="D68" i="53"/>
  <c r="D72" i="53"/>
  <c r="AF49" i="52"/>
  <c r="C113" i="53"/>
  <c r="C49" i="53"/>
  <c r="C50" i="53"/>
  <c r="C54" i="53"/>
  <c r="C68" i="53"/>
  <c r="C72" i="53"/>
  <c r="C84" i="53"/>
  <c r="C99" i="53"/>
  <c r="AI113" i="53"/>
  <c r="B113" i="53"/>
  <c r="B49" i="53"/>
  <c r="B99" i="53"/>
  <c r="B84" i="53"/>
  <c r="B72" i="53"/>
  <c r="B68" i="53"/>
  <c r="B54" i="53"/>
  <c r="B50" i="53"/>
  <c r="AF274" i="53"/>
  <c r="AE274" i="53"/>
  <c r="AD274" i="53"/>
  <c r="AC274" i="53"/>
  <c r="AB274" i="53"/>
  <c r="AA274" i="53"/>
  <c r="Z274" i="53"/>
  <c r="Y274" i="53"/>
  <c r="X274" i="53"/>
  <c r="W274" i="53"/>
  <c r="V274" i="53"/>
  <c r="U274" i="53"/>
  <c r="T274" i="53"/>
  <c r="S274" i="53"/>
  <c r="R274" i="53"/>
  <c r="Q274" i="53"/>
  <c r="P274" i="53"/>
  <c r="O274" i="53"/>
  <c r="N274" i="53"/>
  <c r="M274" i="53"/>
  <c r="L274" i="53"/>
  <c r="K274" i="53"/>
  <c r="J274" i="53"/>
  <c r="I274" i="53"/>
  <c r="H274" i="53"/>
  <c r="G274" i="53"/>
  <c r="F274" i="53"/>
  <c r="E274" i="53"/>
  <c r="D274" i="53"/>
  <c r="C274" i="53"/>
  <c r="B274" i="53"/>
  <c r="A274" i="53"/>
  <c r="AF273" i="53"/>
  <c r="AE273" i="53"/>
  <c r="AD273" i="53"/>
  <c r="AC273" i="53"/>
  <c r="AB273" i="53"/>
  <c r="AA273" i="53"/>
  <c r="Z273" i="53"/>
  <c r="Y273" i="53"/>
  <c r="X273" i="53"/>
  <c r="W273" i="53"/>
  <c r="V273" i="53"/>
  <c r="U273" i="53"/>
  <c r="T273" i="53"/>
  <c r="S273" i="53"/>
  <c r="R273" i="53"/>
  <c r="Q273" i="53"/>
  <c r="P273" i="53"/>
  <c r="O273" i="53"/>
  <c r="N273" i="53"/>
  <c r="M273" i="53"/>
  <c r="L273" i="53"/>
  <c r="K273" i="53"/>
  <c r="J273" i="53"/>
  <c r="I273" i="53"/>
  <c r="H273" i="53"/>
  <c r="G273" i="53"/>
  <c r="F273" i="53"/>
  <c r="E273" i="53"/>
  <c r="D273" i="53"/>
  <c r="C273" i="53"/>
  <c r="B273" i="53"/>
  <c r="A273" i="53"/>
  <c r="AF272" i="53"/>
  <c r="AE272" i="53"/>
  <c r="AD272" i="53"/>
  <c r="AC272" i="53"/>
  <c r="AB272" i="53"/>
  <c r="AA272" i="53"/>
  <c r="Z272" i="53"/>
  <c r="Y272" i="53"/>
  <c r="X272" i="53"/>
  <c r="W272" i="53"/>
  <c r="V272" i="53"/>
  <c r="U272" i="53"/>
  <c r="T272" i="53"/>
  <c r="S272" i="53"/>
  <c r="R272" i="53"/>
  <c r="Q272" i="53"/>
  <c r="P272" i="53"/>
  <c r="O272" i="53"/>
  <c r="N272" i="53"/>
  <c r="M272" i="53"/>
  <c r="L272" i="53"/>
  <c r="K272" i="53"/>
  <c r="J272" i="53"/>
  <c r="I272" i="53"/>
  <c r="H272" i="53"/>
  <c r="G272" i="53"/>
  <c r="F272" i="53"/>
  <c r="E272" i="53"/>
  <c r="D272" i="53"/>
  <c r="C272" i="53"/>
  <c r="B272" i="53"/>
  <c r="A272" i="53"/>
  <c r="AF271" i="53"/>
  <c r="AE271" i="53"/>
  <c r="AD271" i="53"/>
  <c r="AC271" i="53"/>
  <c r="AB271" i="53"/>
  <c r="AA271" i="53"/>
  <c r="Z271" i="53"/>
  <c r="Y271" i="53"/>
  <c r="X271" i="53"/>
  <c r="W271" i="53"/>
  <c r="V271" i="53"/>
  <c r="U271" i="53"/>
  <c r="T271" i="53"/>
  <c r="S271" i="53"/>
  <c r="R271" i="53"/>
  <c r="Q271" i="53"/>
  <c r="P271" i="53"/>
  <c r="O271" i="53"/>
  <c r="N271" i="53"/>
  <c r="M271" i="53"/>
  <c r="L271" i="53"/>
  <c r="K271" i="53"/>
  <c r="J271" i="53"/>
  <c r="I271" i="53"/>
  <c r="H271" i="53"/>
  <c r="G271" i="53"/>
  <c r="F271" i="53"/>
  <c r="E271" i="53"/>
  <c r="D271" i="53"/>
  <c r="C271" i="53"/>
  <c r="B271" i="53"/>
  <c r="A271" i="53"/>
  <c r="AE270" i="53"/>
  <c r="AD270" i="53"/>
  <c r="AC270" i="53"/>
  <c r="AB270" i="53"/>
  <c r="AA270" i="53"/>
  <c r="Z270" i="53"/>
  <c r="Y270" i="53"/>
  <c r="X270" i="53"/>
  <c r="W270" i="53"/>
  <c r="V270" i="53"/>
  <c r="U270" i="53"/>
  <c r="T270" i="53"/>
  <c r="S270" i="53"/>
  <c r="R270" i="53"/>
  <c r="Q270" i="53"/>
  <c r="P270" i="53"/>
  <c r="B270" i="53"/>
  <c r="S245" i="53"/>
  <c r="AG235" i="53"/>
  <c r="AG67" i="53" s="1"/>
  <c r="AG68" i="53" s="1"/>
  <c r="AF235" i="53"/>
  <c r="AE235" i="53"/>
  <c r="AD235" i="53"/>
  <c r="AC235" i="53"/>
  <c r="AB235" i="53"/>
  <c r="AA235" i="53"/>
  <c r="Z235" i="53"/>
  <c r="Y235" i="53"/>
  <c r="X235" i="53"/>
  <c r="W235" i="53"/>
  <c r="V235" i="53"/>
  <c r="U235" i="53"/>
  <c r="T235" i="53"/>
  <c r="S235" i="53"/>
  <c r="R235" i="53"/>
  <c r="Q235" i="53"/>
  <c r="C235" i="53"/>
  <c r="D234" i="53"/>
  <c r="C270" i="53" s="1"/>
  <c r="B234" i="53"/>
  <c r="AF270" i="53" s="1"/>
  <c r="D233" i="53"/>
  <c r="E233" i="53" s="1"/>
  <c r="F233" i="53" s="1"/>
  <c r="G233" i="53" s="1"/>
  <c r="H233" i="53" s="1"/>
  <c r="I233" i="53" s="1"/>
  <c r="J233" i="53" s="1"/>
  <c r="K233" i="53" s="1"/>
  <c r="L233" i="53" s="1"/>
  <c r="M233" i="53" s="1"/>
  <c r="N233" i="53" s="1"/>
  <c r="O233" i="53" s="1"/>
  <c r="P233" i="53" s="1"/>
  <c r="B233" i="53"/>
  <c r="D232" i="53"/>
  <c r="E232" i="53" s="1"/>
  <c r="F232" i="53" s="1"/>
  <c r="G232" i="53" s="1"/>
  <c r="H232" i="53" s="1"/>
  <c r="I232" i="53" s="1"/>
  <c r="B232" i="53"/>
  <c r="E231" i="53"/>
  <c r="F231" i="53" s="1"/>
  <c r="G231" i="53" s="1"/>
  <c r="H231" i="53" s="1"/>
  <c r="D231" i="53"/>
  <c r="B231" i="53"/>
  <c r="D230" i="53"/>
  <c r="E230" i="53" s="1"/>
  <c r="F230" i="53" s="1"/>
  <c r="G230" i="53" s="1"/>
  <c r="H230" i="53" s="1"/>
  <c r="I230" i="53" s="1"/>
  <c r="J230" i="53" s="1"/>
  <c r="K230" i="53" s="1"/>
  <c r="L230" i="53" s="1"/>
  <c r="M230" i="53" s="1"/>
  <c r="N230" i="53" s="1"/>
  <c r="O230" i="53" s="1"/>
  <c r="P230" i="53" s="1"/>
  <c r="B230" i="53"/>
  <c r="D229" i="53"/>
  <c r="B229" i="53"/>
  <c r="B110" i="53" s="1"/>
  <c r="AG227" i="53"/>
  <c r="AF227" i="53"/>
  <c r="AE227" i="53"/>
  <c r="AD227" i="53"/>
  <c r="AC227" i="53"/>
  <c r="AB227" i="53"/>
  <c r="AA227" i="53"/>
  <c r="Z227" i="53"/>
  <c r="Y227" i="53"/>
  <c r="X227" i="53"/>
  <c r="W227" i="53"/>
  <c r="V227" i="53"/>
  <c r="U227" i="53"/>
  <c r="T227" i="53"/>
  <c r="S227" i="53"/>
  <c r="R227" i="53"/>
  <c r="Q227" i="53"/>
  <c r="P227" i="53"/>
  <c r="O227" i="53"/>
  <c r="N227" i="53"/>
  <c r="M227" i="53"/>
  <c r="L227" i="53"/>
  <c r="K227" i="53"/>
  <c r="J227" i="53"/>
  <c r="I227" i="53"/>
  <c r="H227" i="53"/>
  <c r="G227" i="53"/>
  <c r="F227" i="53"/>
  <c r="E227" i="53"/>
  <c r="D227" i="53"/>
  <c r="C227" i="53"/>
  <c r="B227" i="53"/>
  <c r="AI120" i="53"/>
  <c r="AH120" i="53"/>
  <c r="AI119" i="53"/>
  <c r="AH119" i="53"/>
  <c r="AI118" i="53"/>
  <c r="AH118" i="53"/>
  <c r="AI117" i="53"/>
  <c r="AH117" i="53"/>
  <c r="AI116" i="53"/>
  <c r="AH116" i="53"/>
  <c r="AI115" i="53"/>
  <c r="AH115" i="53"/>
  <c r="AI114" i="53"/>
  <c r="AH114" i="53"/>
  <c r="AI112" i="53"/>
  <c r="AH112" i="53"/>
  <c r="AI111" i="53"/>
  <c r="AH111" i="53"/>
  <c r="AF110" i="53"/>
  <c r="AE110" i="53"/>
  <c r="AC110" i="53"/>
  <c r="AB110" i="53"/>
  <c r="AA110" i="53"/>
  <c r="Z110" i="53"/>
  <c r="Y110" i="53"/>
  <c r="X110" i="53"/>
  <c r="W110" i="53"/>
  <c r="V110" i="53"/>
  <c r="U110" i="53"/>
  <c r="T110" i="53"/>
  <c r="S110" i="53"/>
  <c r="R110" i="53"/>
  <c r="Q110" i="53"/>
  <c r="AI109" i="53"/>
  <c r="AH109" i="53"/>
  <c r="AI108" i="53"/>
  <c r="AH108" i="53"/>
  <c r="AI107" i="53"/>
  <c r="AH107" i="53"/>
  <c r="AI106" i="53"/>
  <c r="AH106" i="53"/>
  <c r="AI105" i="53"/>
  <c r="AH105" i="53"/>
  <c r="AI104" i="53"/>
  <c r="AH104" i="53"/>
  <c r="AI103" i="53"/>
  <c r="AH103" i="53"/>
  <c r="AI102" i="53"/>
  <c r="AH102" i="53"/>
  <c r="AI101" i="53"/>
  <c r="AH101" i="53"/>
  <c r="AF99" i="53"/>
  <c r="AE99" i="53"/>
  <c r="AD99" i="53"/>
  <c r="AC99" i="53"/>
  <c r="AB99" i="53"/>
  <c r="AA99" i="53"/>
  <c r="Z99" i="53"/>
  <c r="Y99" i="53"/>
  <c r="X99" i="53"/>
  <c r="W99" i="53"/>
  <c r="V99" i="53"/>
  <c r="U99" i="53"/>
  <c r="T99" i="53"/>
  <c r="S99" i="53"/>
  <c r="R99" i="53"/>
  <c r="Q99" i="53"/>
  <c r="Q100" i="53" s="1"/>
  <c r="P99" i="53"/>
  <c r="O99" i="53"/>
  <c r="N99" i="53"/>
  <c r="M99" i="53"/>
  <c r="L99" i="53"/>
  <c r="K99" i="53"/>
  <c r="J99" i="53"/>
  <c r="I99" i="53"/>
  <c r="H99" i="53"/>
  <c r="G99" i="53"/>
  <c r="F99" i="53"/>
  <c r="E99" i="53"/>
  <c r="D99" i="53"/>
  <c r="AI98" i="53"/>
  <c r="AH98" i="53"/>
  <c r="AI97" i="53"/>
  <c r="AH97" i="53"/>
  <c r="AI96" i="53"/>
  <c r="AH96" i="53"/>
  <c r="AI95" i="53"/>
  <c r="AH95" i="53"/>
  <c r="AI94" i="53"/>
  <c r="AH94" i="53"/>
  <c r="AI93" i="53"/>
  <c r="AH93" i="53"/>
  <c r="AI90" i="53"/>
  <c r="AH90" i="53"/>
  <c r="AI88" i="53"/>
  <c r="AH88" i="53"/>
  <c r="AG88" i="53"/>
  <c r="AI87" i="53"/>
  <c r="AH87" i="53"/>
  <c r="AI86" i="53"/>
  <c r="AH86" i="53"/>
  <c r="AI85" i="53"/>
  <c r="AH85" i="53"/>
  <c r="AG84" i="53"/>
  <c r="AF84" i="53"/>
  <c r="AE5" i="53" s="1"/>
  <c r="AE84" i="53"/>
  <c r="AD5" i="53" s="1"/>
  <c r="AD84" i="53"/>
  <c r="AC5" i="53" s="1"/>
  <c r="AC84" i="53"/>
  <c r="AC100" i="53" s="1"/>
  <c r="AB84" i="53"/>
  <c r="AB100" i="53" s="1"/>
  <c r="AA84" i="53"/>
  <c r="AA100" i="53" s="1"/>
  <c r="Z84" i="53"/>
  <c r="Y5" i="53" s="1"/>
  <c r="Y84" i="53"/>
  <c r="X5" i="53" s="1"/>
  <c r="X84" i="53"/>
  <c r="W5" i="53" s="1"/>
  <c r="W84" i="53"/>
  <c r="V5" i="53" s="1"/>
  <c r="V84" i="53"/>
  <c r="U84" i="53"/>
  <c r="U100" i="53" s="1"/>
  <c r="T100" i="53"/>
  <c r="S84" i="53"/>
  <c r="S100" i="53" s="1"/>
  <c r="R84" i="53"/>
  <c r="Q84" i="53"/>
  <c r="P5" i="53" s="1"/>
  <c r="P84" i="53"/>
  <c r="O5" i="53" s="1"/>
  <c r="O84" i="53"/>
  <c r="N5" i="53" s="1"/>
  <c r="N84" i="53"/>
  <c r="M84" i="53"/>
  <c r="L84" i="53"/>
  <c r="L100" i="53" s="1"/>
  <c r="K84" i="53"/>
  <c r="K100" i="53" s="1"/>
  <c r="J84" i="53"/>
  <c r="I84" i="53"/>
  <c r="H5" i="53" s="1"/>
  <c r="H84" i="53"/>
  <c r="G5" i="53" s="1"/>
  <c r="G84" i="53"/>
  <c r="F5" i="53" s="1"/>
  <c r="F84" i="53"/>
  <c r="E84" i="53"/>
  <c r="E100" i="53" s="1"/>
  <c r="D84" i="53"/>
  <c r="D100" i="53" s="1"/>
  <c r="AI83" i="53"/>
  <c r="AH83" i="53"/>
  <c r="AI82" i="53"/>
  <c r="AH82" i="53"/>
  <c r="AI81" i="53"/>
  <c r="AH81" i="53"/>
  <c r="AI80" i="53"/>
  <c r="AH80" i="53"/>
  <c r="AI79" i="53"/>
  <c r="AH79" i="53"/>
  <c r="AI78" i="53"/>
  <c r="AH78" i="53"/>
  <c r="AI77" i="53"/>
  <c r="AH77" i="53"/>
  <c r="AI76" i="53"/>
  <c r="AH76" i="53"/>
  <c r="AI75" i="53"/>
  <c r="AH75" i="53"/>
  <c r="AI74" i="53"/>
  <c r="AH74" i="53"/>
  <c r="AI73" i="53"/>
  <c r="AH73" i="53"/>
  <c r="AG72" i="53"/>
  <c r="AF72" i="53"/>
  <c r="AE72" i="53"/>
  <c r="AD72" i="53"/>
  <c r="AC72" i="53"/>
  <c r="AB72" i="53"/>
  <c r="AA72" i="53"/>
  <c r="Z72" i="53"/>
  <c r="Y72" i="53"/>
  <c r="X72" i="53"/>
  <c r="W72" i="53"/>
  <c r="V72" i="53"/>
  <c r="U72" i="53"/>
  <c r="T72" i="53"/>
  <c r="S72" i="53"/>
  <c r="R72" i="53"/>
  <c r="Q72" i="53"/>
  <c r="P72" i="53"/>
  <c r="O72" i="53"/>
  <c r="N72" i="53"/>
  <c r="M72" i="53"/>
  <c r="L72" i="53"/>
  <c r="AI71" i="53"/>
  <c r="AH71" i="53"/>
  <c r="AI70" i="53"/>
  <c r="AH70" i="53"/>
  <c r="AI69" i="53"/>
  <c r="AH69" i="53"/>
  <c r="AF68" i="53"/>
  <c r="AE68" i="53"/>
  <c r="AD68" i="53"/>
  <c r="AC68" i="53"/>
  <c r="AB68" i="53"/>
  <c r="AA68" i="53"/>
  <c r="Z68" i="53"/>
  <c r="Y68" i="53"/>
  <c r="X68" i="53"/>
  <c r="W68" i="53"/>
  <c r="V68" i="53"/>
  <c r="U68" i="53"/>
  <c r="T68" i="53"/>
  <c r="S68" i="53"/>
  <c r="R68" i="53"/>
  <c r="Q68" i="53"/>
  <c r="P68" i="53"/>
  <c r="O68" i="53"/>
  <c r="N68" i="53"/>
  <c r="M68" i="53"/>
  <c r="L68" i="53"/>
  <c r="K68" i="53"/>
  <c r="J68" i="53"/>
  <c r="I68" i="53"/>
  <c r="H68" i="53"/>
  <c r="G68" i="53"/>
  <c r="F68" i="53"/>
  <c r="E68" i="53"/>
  <c r="AI67" i="53"/>
  <c r="AH67" i="53"/>
  <c r="AI66" i="53"/>
  <c r="AH66" i="53"/>
  <c r="AI65" i="53"/>
  <c r="AH65" i="53"/>
  <c r="AI64" i="53"/>
  <c r="AH64" i="53"/>
  <c r="AI63" i="53"/>
  <c r="AH63" i="53"/>
  <c r="AI62" i="53"/>
  <c r="AH62" i="53"/>
  <c r="AI61" i="53"/>
  <c r="AH61" i="53"/>
  <c r="AI60" i="53"/>
  <c r="AH60" i="53"/>
  <c r="AI59" i="53"/>
  <c r="AH59" i="53"/>
  <c r="AI58" i="53"/>
  <c r="AH58" i="53"/>
  <c r="AI57" i="53"/>
  <c r="AH57" i="53"/>
  <c r="AI56" i="53"/>
  <c r="AH56" i="53"/>
  <c r="AI55" i="53"/>
  <c r="AH55" i="53"/>
  <c r="AG54" i="53"/>
  <c r="AF54" i="53"/>
  <c r="AE54" i="53"/>
  <c r="AD54" i="53"/>
  <c r="AC54" i="53"/>
  <c r="AB54" i="53"/>
  <c r="AA54" i="53"/>
  <c r="Z54" i="53"/>
  <c r="Y54" i="53"/>
  <c r="X54" i="53"/>
  <c r="W54" i="53"/>
  <c r="V54" i="53"/>
  <c r="U54" i="53"/>
  <c r="T54" i="53"/>
  <c r="S54" i="53"/>
  <c r="R54" i="53"/>
  <c r="Q54" i="53"/>
  <c r="P54" i="53"/>
  <c r="O54" i="53"/>
  <c r="N54" i="53"/>
  <c r="M54" i="53"/>
  <c r="L54" i="53"/>
  <c r="K54" i="53"/>
  <c r="J54" i="53"/>
  <c r="I54" i="53"/>
  <c r="H54" i="53"/>
  <c r="G54" i="53"/>
  <c r="F54" i="53"/>
  <c r="E54" i="53"/>
  <c r="AI53" i="53"/>
  <c r="AH53" i="53"/>
  <c r="AI52" i="53"/>
  <c r="AH52" i="53"/>
  <c r="AI51" i="53"/>
  <c r="AH51" i="53"/>
  <c r="AG50" i="53"/>
  <c r="AF50" i="53"/>
  <c r="AE50" i="53"/>
  <c r="AD50" i="53"/>
  <c r="AC50" i="53"/>
  <c r="AB50" i="53"/>
  <c r="AA50" i="53"/>
  <c r="Z50" i="53"/>
  <c r="Y50" i="53"/>
  <c r="X50" i="53"/>
  <c r="W50" i="53"/>
  <c r="V50" i="53"/>
  <c r="U50" i="53"/>
  <c r="T50" i="53"/>
  <c r="S50" i="53"/>
  <c r="R50" i="53"/>
  <c r="Q50" i="53"/>
  <c r="P50" i="53"/>
  <c r="O50" i="53"/>
  <c r="N50" i="53"/>
  <c r="M50" i="53"/>
  <c r="L50" i="53"/>
  <c r="K50" i="53"/>
  <c r="J50" i="53"/>
  <c r="I50" i="53"/>
  <c r="H50" i="53"/>
  <c r="G50" i="53"/>
  <c r="F50" i="53"/>
  <c r="E50" i="53"/>
  <c r="AH49" i="53"/>
  <c r="AI48" i="53"/>
  <c r="AH48" i="53"/>
  <c r="AI47" i="53"/>
  <c r="AH47" i="53"/>
  <c r="AI46" i="53"/>
  <c r="AH46" i="53"/>
  <c r="AI45" i="53"/>
  <c r="AH45" i="53"/>
  <c r="AI44" i="53"/>
  <c r="AH44" i="53"/>
  <c r="AI43" i="53"/>
  <c r="AH43" i="53"/>
  <c r="AI42" i="53"/>
  <c r="AH42" i="53"/>
  <c r="AI41" i="53"/>
  <c r="AH41" i="53"/>
  <c r="AI40" i="53"/>
  <c r="AH40" i="53"/>
  <c r="AI39" i="53"/>
  <c r="AH39" i="53"/>
  <c r="AI38" i="53"/>
  <c r="AH38" i="53"/>
  <c r="AI37" i="53"/>
  <c r="AH37" i="53"/>
  <c r="AI36" i="53"/>
  <c r="AH36" i="53"/>
  <c r="AI35" i="53"/>
  <c r="AH35" i="53"/>
  <c r="AI34" i="53"/>
  <c r="AH34" i="53"/>
  <c r="AI33" i="53"/>
  <c r="AH33" i="53"/>
  <c r="AI32" i="53"/>
  <c r="AH32" i="53"/>
  <c r="AI31" i="53"/>
  <c r="AH31" i="53"/>
  <c r="AI30" i="53"/>
  <c r="AH30" i="53"/>
  <c r="AI29" i="53"/>
  <c r="AH29" i="53"/>
  <c r="AI28" i="53"/>
  <c r="AH28" i="53"/>
  <c r="AI27" i="53"/>
  <c r="AH27" i="53"/>
  <c r="AI26" i="53"/>
  <c r="AH26" i="53"/>
  <c r="AI25" i="53"/>
  <c r="AH25" i="53"/>
  <c r="AI24" i="53"/>
  <c r="AH24" i="53"/>
  <c r="AI23" i="53"/>
  <c r="AH23" i="53"/>
  <c r="AI22" i="53"/>
  <c r="AH22" i="53"/>
  <c r="AI21" i="53"/>
  <c r="AH21" i="53"/>
  <c r="AI20" i="53"/>
  <c r="AH20" i="53"/>
  <c r="AI19" i="53"/>
  <c r="AH19" i="53"/>
  <c r="AI18" i="53"/>
  <c r="AH18" i="53"/>
  <c r="AI17" i="53"/>
  <c r="AH17" i="53"/>
  <c r="AI16" i="53"/>
  <c r="AH16" i="53"/>
  <c r="AI15" i="53"/>
  <c r="AH15" i="53"/>
  <c r="AI14" i="53"/>
  <c r="AH14" i="53"/>
  <c r="AI13" i="53"/>
  <c r="AH13" i="53"/>
  <c r="AI12" i="53"/>
  <c r="AH12" i="53"/>
  <c r="AI11" i="53"/>
  <c r="AH11" i="53"/>
  <c r="L5" i="53"/>
  <c r="K5" i="53"/>
  <c r="AG4" i="53"/>
  <c r="K4" i="53"/>
  <c r="E4" i="53"/>
  <c r="H4" i="53" s="1"/>
  <c r="B4" i="53"/>
  <c r="D246" i="53" s="1"/>
  <c r="AG2" i="53"/>
  <c r="AF113" i="52"/>
  <c r="AF50" i="52"/>
  <c r="AF54" i="52"/>
  <c r="AF68" i="52"/>
  <c r="AF72" i="52"/>
  <c r="AF84" i="52"/>
  <c r="AF100" i="52" s="1"/>
  <c r="AF99" i="52"/>
  <c r="AF110" i="52"/>
  <c r="AE113" i="52"/>
  <c r="AE49" i="52"/>
  <c r="AD113" i="52"/>
  <c r="AD49" i="52"/>
  <c r="AD23" i="52"/>
  <c r="AC89" i="53" l="1"/>
  <c r="AC91" i="53" s="1"/>
  <c r="AB89" i="53"/>
  <c r="AB91" i="53" s="1"/>
  <c r="AA5" i="53"/>
  <c r="AA89" i="53"/>
  <c r="AA91" i="53" s="1"/>
  <c r="Z89" i="53"/>
  <c r="Z91" i="53" s="1"/>
  <c r="Z5" i="53"/>
  <c r="Y100" i="53"/>
  <c r="P100" i="53"/>
  <c r="X100" i="53"/>
  <c r="W89" i="53"/>
  <c r="W91" i="53" s="1"/>
  <c r="AO249" i="53" s="1"/>
  <c r="AE89" i="53"/>
  <c r="AE91" i="53" s="1"/>
  <c r="AW249" i="53" s="1"/>
  <c r="P89" i="53"/>
  <c r="P91" i="53" s="1"/>
  <c r="P7" i="53" s="1"/>
  <c r="X89" i="53"/>
  <c r="X91" i="53" s="1"/>
  <c r="X7" i="53" s="1"/>
  <c r="AF89" i="53"/>
  <c r="AF91" i="53" s="1"/>
  <c r="AF7" i="53" s="1"/>
  <c r="F100" i="53"/>
  <c r="N100" i="53"/>
  <c r="V100" i="53"/>
  <c r="AD100" i="53"/>
  <c r="E234" i="53"/>
  <c r="D270" i="53" s="1"/>
  <c r="U5" i="53"/>
  <c r="Y89" i="53"/>
  <c r="Y91" i="53" s="1"/>
  <c r="Y92" i="53" s="1"/>
  <c r="D235" i="53"/>
  <c r="C100" i="53"/>
  <c r="J100" i="53"/>
  <c r="R100" i="53"/>
  <c r="Z100" i="53"/>
  <c r="AF100" i="53"/>
  <c r="AB5" i="53"/>
  <c r="V89" i="53"/>
  <c r="V91" i="53" s="1"/>
  <c r="V92" i="53" s="1"/>
  <c r="AD89" i="53"/>
  <c r="AD91" i="53" s="1"/>
  <c r="AD7" i="53" s="1"/>
  <c r="AI49" i="53"/>
  <c r="T5" i="53"/>
  <c r="U89" i="53"/>
  <c r="U91" i="53" s="1"/>
  <c r="AM249" i="53" s="1"/>
  <c r="T89" i="53"/>
  <c r="T91" i="53" s="1"/>
  <c r="S5" i="53"/>
  <c r="AH72" i="53"/>
  <c r="R5" i="53"/>
  <c r="S89" i="53"/>
  <c r="S91" i="53" s="1"/>
  <c r="AK249" i="53" s="1"/>
  <c r="Q5" i="53"/>
  <c r="R89" i="53"/>
  <c r="R91" i="53" s="1"/>
  <c r="Q89" i="53"/>
  <c r="Q91" i="53" s="1"/>
  <c r="O89" i="53"/>
  <c r="O91" i="53" s="1"/>
  <c r="O92" i="53" s="1"/>
  <c r="M5" i="53"/>
  <c r="N89" i="53"/>
  <c r="N91" i="53" s="1"/>
  <c r="L89" i="53"/>
  <c r="L91" i="53" s="1"/>
  <c r="L7" i="53" s="1"/>
  <c r="M100" i="53"/>
  <c r="M89" i="53"/>
  <c r="M91" i="53" s="1"/>
  <c r="M7" i="53" s="1"/>
  <c r="AI54" i="53"/>
  <c r="H100" i="53"/>
  <c r="H89" i="53"/>
  <c r="H91" i="53" s="1"/>
  <c r="Z249" i="53" s="1"/>
  <c r="J5" i="53"/>
  <c r="K89" i="53"/>
  <c r="K91" i="53" s="1"/>
  <c r="K7" i="53" s="1"/>
  <c r="I5" i="53"/>
  <c r="AH68" i="53"/>
  <c r="AH54" i="53"/>
  <c r="J89" i="53"/>
  <c r="J91" i="53" s="1"/>
  <c r="AB249" i="53" s="1"/>
  <c r="I89" i="53"/>
  <c r="I91" i="53" s="1"/>
  <c r="I92" i="53" s="1"/>
  <c r="AI99" i="53"/>
  <c r="G89" i="53"/>
  <c r="G91" i="53" s="1"/>
  <c r="G7" i="53" s="1"/>
  <c r="E5" i="53"/>
  <c r="F89" i="53"/>
  <c r="F91" i="53" s="1"/>
  <c r="F92" i="53" s="1"/>
  <c r="D5" i="53"/>
  <c r="E89" i="53"/>
  <c r="E91" i="53" s="1"/>
  <c r="E7" i="53" s="1"/>
  <c r="D89" i="53"/>
  <c r="D91" i="53" s="1"/>
  <c r="V249" i="53" s="1"/>
  <c r="C5" i="53"/>
  <c r="AI72" i="53"/>
  <c r="C89" i="53"/>
  <c r="C91" i="53" s="1"/>
  <c r="C92" i="53" s="1"/>
  <c r="AH113" i="53"/>
  <c r="C110" i="53"/>
  <c r="B5" i="53"/>
  <c r="AI84" i="53"/>
  <c r="AI50" i="53"/>
  <c r="B89" i="53"/>
  <c r="B91" i="53" s="1"/>
  <c r="B92" i="53" s="1"/>
  <c r="AF5" i="53"/>
  <c r="AI68" i="53"/>
  <c r="B100" i="53"/>
  <c r="S246" i="53"/>
  <c r="AB92" i="53"/>
  <c r="AB7" i="53"/>
  <c r="AT249" i="53"/>
  <c r="AC7" i="53"/>
  <c r="AU249" i="53"/>
  <c r="AC92" i="53"/>
  <c r="N7" i="53"/>
  <c r="AF249" i="53"/>
  <c r="N92" i="53"/>
  <c r="D92" i="53"/>
  <c r="D7" i="53"/>
  <c r="AG249" i="53"/>
  <c r="J232" i="53"/>
  <c r="K232" i="53" s="1"/>
  <c r="L232" i="53" s="1"/>
  <c r="M232" i="53" s="1"/>
  <c r="N232" i="53" s="1"/>
  <c r="O232" i="53" s="1"/>
  <c r="P232" i="53" s="1"/>
  <c r="AG3" i="53"/>
  <c r="AG6" i="53" s="1"/>
  <c r="AG91" i="53"/>
  <c r="L92" i="53"/>
  <c r="AI249" i="53"/>
  <c r="Q92" i="53"/>
  <c r="Q7" i="53"/>
  <c r="AG89" i="53"/>
  <c r="R92" i="53"/>
  <c r="R7" i="53"/>
  <c r="AJ249" i="53"/>
  <c r="T92" i="53"/>
  <c r="T7" i="53"/>
  <c r="AL249" i="53"/>
  <c r="P92" i="53"/>
  <c r="AH249" i="53"/>
  <c r="Z92" i="53"/>
  <c r="Z7" i="53"/>
  <c r="AR249" i="53"/>
  <c r="AA92" i="53"/>
  <c r="AA7" i="53"/>
  <c r="AS249" i="53"/>
  <c r="AH50" i="53"/>
  <c r="G100" i="53"/>
  <c r="O100" i="53"/>
  <c r="W100" i="53"/>
  <c r="AE100" i="53"/>
  <c r="D110" i="53"/>
  <c r="AH99" i="53"/>
  <c r="I100" i="53"/>
  <c r="F234" i="53"/>
  <c r="E229" i="53"/>
  <c r="AH84" i="53"/>
  <c r="B235" i="53"/>
  <c r="AF89" i="52"/>
  <c r="AF91" i="52" s="1"/>
  <c r="AF92" i="52" s="1"/>
  <c r="AC113" i="52"/>
  <c r="AC49" i="52"/>
  <c r="AC27" i="52"/>
  <c r="AC39" i="52"/>
  <c r="AC23" i="52"/>
  <c r="AD72" i="52"/>
  <c r="AB113" i="52"/>
  <c r="AB49" i="52"/>
  <c r="AE7" i="53" l="1"/>
  <c r="AE92" i="53"/>
  <c r="AQ249" i="53"/>
  <c r="Y7" i="53"/>
  <c r="W7" i="53"/>
  <c r="U7" i="53"/>
  <c r="U92" i="53"/>
  <c r="V7" i="53"/>
  <c r="AP249" i="53"/>
  <c r="AX249" i="53"/>
  <c r="AD92" i="53"/>
  <c r="X92" i="53"/>
  <c r="AF92" i="53"/>
  <c r="AV249" i="53"/>
  <c r="W92" i="53"/>
  <c r="AE249" i="53"/>
  <c r="AD249" i="53"/>
  <c r="H92" i="53"/>
  <c r="O7" i="53"/>
  <c r="AN249" i="53"/>
  <c r="S7" i="53"/>
  <c r="S92" i="53"/>
  <c r="M92" i="53"/>
  <c r="H7" i="53"/>
  <c r="I7" i="53"/>
  <c r="AA249" i="53"/>
  <c r="AC249" i="53"/>
  <c r="K92" i="53"/>
  <c r="J92" i="53"/>
  <c r="J7" i="53"/>
  <c r="E92" i="53"/>
  <c r="G92" i="53"/>
  <c r="B244" i="53"/>
  <c r="C244" i="53"/>
  <c r="Y249" i="53"/>
  <c r="X249" i="53"/>
  <c r="F7" i="53"/>
  <c r="W249" i="53"/>
  <c r="AI89" i="53"/>
  <c r="AH89" i="53"/>
  <c r="AI91" i="53"/>
  <c r="AH91" i="53"/>
  <c r="B7" i="53"/>
  <c r="T249" i="53"/>
  <c r="AH100" i="53"/>
  <c r="AI100" i="53"/>
  <c r="F229" i="53"/>
  <c r="E110" i="53"/>
  <c r="E235" i="53"/>
  <c r="E270" i="53"/>
  <c r="G234" i="53"/>
  <c r="C7" i="53"/>
  <c r="U249" i="53"/>
  <c r="W113" i="52"/>
  <c r="W49" i="52"/>
  <c r="AH49" i="52" s="1"/>
  <c r="AI104" i="52"/>
  <c r="AH104" i="52"/>
  <c r="K50" i="52"/>
  <c r="L50" i="52"/>
  <c r="K54" i="52"/>
  <c r="L54" i="52"/>
  <c r="K68" i="52"/>
  <c r="L68" i="52"/>
  <c r="K84" i="52"/>
  <c r="L84" i="52"/>
  <c r="K99" i="52"/>
  <c r="L99" i="52"/>
  <c r="AF274" i="52"/>
  <c r="AE274" i="52"/>
  <c r="AD274" i="52"/>
  <c r="AC274" i="52"/>
  <c r="AB274" i="52"/>
  <c r="AA274" i="52"/>
  <c r="Z274" i="52"/>
  <c r="Y274" i="52"/>
  <c r="X274" i="52"/>
  <c r="W274" i="52"/>
  <c r="V274" i="52"/>
  <c r="U274" i="52"/>
  <c r="T274" i="52"/>
  <c r="S274" i="52"/>
  <c r="R274" i="52"/>
  <c r="Q274" i="52"/>
  <c r="P274" i="52"/>
  <c r="O274" i="52"/>
  <c r="N274" i="52"/>
  <c r="M274" i="52"/>
  <c r="L274" i="52"/>
  <c r="K274" i="52"/>
  <c r="J274" i="52"/>
  <c r="I274" i="52"/>
  <c r="H274" i="52"/>
  <c r="G274" i="52"/>
  <c r="F274" i="52"/>
  <c r="E274" i="52"/>
  <c r="D274" i="52"/>
  <c r="C274" i="52"/>
  <c r="B274" i="52"/>
  <c r="A274" i="52"/>
  <c r="AF273" i="52"/>
  <c r="AE273" i="52"/>
  <c r="AD273" i="52"/>
  <c r="AC273" i="52"/>
  <c r="AB273" i="52"/>
  <c r="AA273" i="52"/>
  <c r="Z273" i="52"/>
  <c r="Y273" i="52"/>
  <c r="X273" i="52"/>
  <c r="W273" i="52"/>
  <c r="V273" i="52"/>
  <c r="U273" i="52"/>
  <c r="T273" i="52"/>
  <c r="S273" i="52"/>
  <c r="R273" i="52"/>
  <c r="Q273" i="52"/>
  <c r="P273" i="52"/>
  <c r="O273" i="52"/>
  <c r="N273" i="52"/>
  <c r="M273" i="52"/>
  <c r="L273" i="52"/>
  <c r="K273" i="52"/>
  <c r="J273" i="52"/>
  <c r="I273" i="52"/>
  <c r="H273" i="52"/>
  <c r="G273" i="52"/>
  <c r="F273" i="52"/>
  <c r="E273" i="52"/>
  <c r="D273" i="52"/>
  <c r="C273" i="52"/>
  <c r="B273" i="52"/>
  <c r="A273" i="52"/>
  <c r="AF272" i="52"/>
  <c r="AE272" i="52"/>
  <c r="AD272" i="52"/>
  <c r="AC272" i="52"/>
  <c r="AB272" i="52"/>
  <c r="AA272" i="52"/>
  <c r="Z272" i="52"/>
  <c r="Y272" i="52"/>
  <c r="X272" i="52"/>
  <c r="W272" i="52"/>
  <c r="V272" i="52"/>
  <c r="U272" i="52"/>
  <c r="T272" i="52"/>
  <c r="S272" i="52"/>
  <c r="R272" i="52"/>
  <c r="Q272" i="52"/>
  <c r="P272" i="52"/>
  <c r="O272" i="52"/>
  <c r="N272" i="52"/>
  <c r="M272" i="52"/>
  <c r="L272" i="52"/>
  <c r="K272" i="52"/>
  <c r="J272" i="52"/>
  <c r="I272" i="52"/>
  <c r="H272" i="52"/>
  <c r="G272" i="52"/>
  <c r="F272" i="52"/>
  <c r="E272" i="52"/>
  <c r="D272" i="52"/>
  <c r="C272" i="52"/>
  <c r="B272" i="52"/>
  <c r="A272" i="52"/>
  <c r="AF271" i="52"/>
  <c r="AE271" i="52"/>
  <c r="AD271" i="52"/>
  <c r="AC271" i="52"/>
  <c r="AB271" i="52"/>
  <c r="AA271" i="52"/>
  <c r="Z271" i="52"/>
  <c r="Y271" i="52"/>
  <c r="X271" i="52"/>
  <c r="W271" i="52"/>
  <c r="V271" i="52"/>
  <c r="U271" i="52"/>
  <c r="T271" i="52"/>
  <c r="S271" i="52"/>
  <c r="R271" i="52"/>
  <c r="Q271" i="52"/>
  <c r="P271" i="52"/>
  <c r="O271" i="52"/>
  <c r="N271" i="52"/>
  <c r="M271" i="52"/>
  <c r="L271" i="52"/>
  <c r="K271" i="52"/>
  <c r="J271" i="52"/>
  <c r="I271" i="52"/>
  <c r="H271" i="52"/>
  <c r="G271" i="52"/>
  <c r="F271" i="52"/>
  <c r="E271" i="52"/>
  <c r="D271" i="52"/>
  <c r="C271" i="52"/>
  <c r="B271" i="52"/>
  <c r="A271" i="52"/>
  <c r="AE270" i="52"/>
  <c r="AD270" i="52"/>
  <c r="AC270" i="52"/>
  <c r="AB270" i="52"/>
  <c r="AA270" i="52"/>
  <c r="Z270" i="52"/>
  <c r="Y270" i="52"/>
  <c r="X270" i="52"/>
  <c r="W270" i="52"/>
  <c r="V270" i="52"/>
  <c r="U270" i="52"/>
  <c r="T270" i="52"/>
  <c r="S270" i="52"/>
  <c r="R270" i="52"/>
  <c r="Q270" i="52"/>
  <c r="P270" i="52"/>
  <c r="B270" i="52"/>
  <c r="S245" i="52"/>
  <c r="AG235" i="52"/>
  <c r="AF235" i="52"/>
  <c r="AE235" i="52"/>
  <c r="AD235" i="52"/>
  <c r="AC235" i="52"/>
  <c r="AB235" i="52"/>
  <c r="AA235" i="52"/>
  <c r="Z235" i="52"/>
  <c r="Y235" i="52"/>
  <c r="X235" i="52"/>
  <c r="W235" i="52"/>
  <c r="V235" i="52"/>
  <c r="U235" i="52"/>
  <c r="T235" i="52"/>
  <c r="S235" i="52"/>
  <c r="R235" i="52"/>
  <c r="Q235" i="52"/>
  <c r="C235" i="52"/>
  <c r="D234" i="52"/>
  <c r="C270" i="52" s="1"/>
  <c r="B234" i="52"/>
  <c r="AF270" i="52" s="1"/>
  <c r="D233" i="52"/>
  <c r="E233" i="52" s="1"/>
  <c r="F233" i="52" s="1"/>
  <c r="G233" i="52" s="1"/>
  <c r="H233" i="52" s="1"/>
  <c r="I233" i="52" s="1"/>
  <c r="J233" i="52" s="1"/>
  <c r="K233" i="52" s="1"/>
  <c r="L233" i="52" s="1"/>
  <c r="M233" i="52" s="1"/>
  <c r="N233" i="52" s="1"/>
  <c r="O233" i="52" s="1"/>
  <c r="P233" i="52" s="1"/>
  <c r="B233" i="52"/>
  <c r="E232" i="52"/>
  <c r="F232" i="52" s="1"/>
  <c r="G232" i="52" s="1"/>
  <c r="H232" i="52" s="1"/>
  <c r="I232" i="52" s="1"/>
  <c r="D232" i="52"/>
  <c r="B232" i="52"/>
  <c r="D231" i="52"/>
  <c r="E231" i="52" s="1"/>
  <c r="F231" i="52" s="1"/>
  <c r="G231" i="52" s="1"/>
  <c r="H231" i="52" s="1"/>
  <c r="B231" i="52"/>
  <c r="E230" i="52"/>
  <c r="F230" i="52" s="1"/>
  <c r="G230" i="52" s="1"/>
  <c r="H230" i="52" s="1"/>
  <c r="I230" i="52" s="1"/>
  <c r="J230" i="52" s="1"/>
  <c r="K230" i="52" s="1"/>
  <c r="L230" i="52" s="1"/>
  <c r="M230" i="52" s="1"/>
  <c r="N230" i="52" s="1"/>
  <c r="O230" i="52" s="1"/>
  <c r="P230" i="52" s="1"/>
  <c r="D230" i="52"/>
  <c r="B230" i="52"/>
  <c r="D229" i="52"/>
  <c r="B229" i="52"/>
  <c r="AG227" i="52"/>
  <c r="AF227" i="52"/>
  <c r="AE227" i="52"/>
  <c r="AD227" i="52"/>
  <c r="AC227" i="52"/>
  <c r="AB227" i="52"/>
  <c r="AA227" i="52"/>
  <c r="Z227" i="52"/>
  <c r="Y227" i="52"/>
  <c r="X227" i="52"/>
  <c r="W227" i="52"/>
  <c r="V227" i="52"/>
  <c r="U227" i="52"/>
  <c r="T227" i="52"/>
  <c r="S227" i="52"/>
  <c r="R227" i="52"/>
  <c r="Q227" i="52"/>
  <c r="P227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B227" i="52"/>
  <c r="AI120" i="52"/>
  <c r="AH120" i="52"/>
  <c r="AI119" i="52"/>
  <c r="AH119" i="52"/>
  <c r="AI118" i="52"/>
  <c r="AH118" i="52"/>
  <c r="AI117" i="52"/>
  <c r="AH117" i="52"/>
  <c r="AI116" i="52"/>
  <c r="AH116" i="52"/>
  <c r="AI115" i="52"/>
  <c r="AH115" i="52"/>
  <c r="AI114" i="52"/>
  <c r="AH114" i="52"/>
  <c r="AI113" i="52"/>
  <c r="AH113" i="52"/>
  <c r="AI112" i="52"/>
  <c r="AH112" i="52"/>
  <c r="AI111" i="52"/>
  <c r="AH111" i="52"/>
  <c r="AE110" i="52"/>
  <c r="AC110" i="52"/>
  <c r="AB110" i="52"/>
  <c r="AA110" i="52"/>
  <c r="Z110" i="52"/>
  <c r="Y110" i="52"/>
  <c r="X110" i="52"/>
  <c r="W110" i="52"/>
  <c r="V110" i="52"/>
  <c r="U110" i="52"/>
  <c r="T110" i="52"/>
  <c r="S110" i="52"/>
  <c r="R110" i="52"/>
  <c r="Q110" i="52"/>
  <c r="C110" i="52"/>
  <c r="AI109" i="52"/>
  <c r="AH109" i="52"/>
  <c r="AI108" i="52"/>
  <c r="AH108" i="52"/>
  <c r="AI107" i="52"/>
  <c r="AH107" i="52"/>
  <c r="AI106" i="52"/>
  <c r="AH106" i="52"/>
  <c r="AI105" i="52"/>
  <c r="AH105" i="52"/>
  <c r="AI103" i="52"/>
  <c r="AH103" i="52"/>
  <c r="AI102" i="52"/>
  <c r="AH102" i="52"/>
  <c r="AI101" i="52"/>
  <c r="AH101" i="52"/>
  <c r="AE99" i="52"/>
  <c r="AD99" i="52"/>
  <c r="AC99" i="52"/>
  <c r="AB99" i="52"/>
  <c r="AA99" i="52"/>
  <c r="Z99" i="52"/>
  <c r="Y99" i="52"/>
  <c r="X99" i="52"/>
  <c r="W99" i="52"/>
  <c r="V99" i="52"/>
  <c r="U99" i="52"/>
  <c r="T99" i="52"/>
  <c r="S99" i="52"/>
  <c r="R99" i="52"/>
  <c r="Q99" i="52"/>
  <c r="P99" i="52"/>
  <c r="O99" i="52"/>
  <c r="N99" i="52"/>
  <c r="M99" i="52"/>
  <c r="J99" i="52"/>
  <c r="I99" i="52"/>
  <c r="H99" i="52"/>
  <c r="G99" i="52"/>
  <c r="F99" i="52"/>
  <c r="E99" i="52"/>
  <c r="D99" i="52"/>
  <c r="C99" i="52"/>
  <c r="AI98" i="52"/>
  <c r="AH98" i="52"/>
  <c r="AI97" i="52"/>
  <c r="AH97" i="52"/>
  <c r="AI96" i="52"/>
  <c r="AH96" i="52"/>
  <c r="AI95" i="52"/>
  <c r="AH95" i="52"/>
  <c r="AI94" i="52"/>
  <c r="AH94" i="52"/>
  <c r="AI93" i="52"/>
  <c r="AH93" i="52"/>
  <c r="AI90" i="52"/>
  <c r="AH90" i="52"/>
  <c r="AI88" i="52"/>
  <c r="AH88" i="52"/>
  <c r="AG88" i="52"/>
  <c r="AG91" i="52" s="1"/>
  <c r="AI87" i="52"/>
  <c r="AH87" i="52"/>
  <c r="AI86" i="52"/>
  <c r="AH86" i="52"/>
  <c r="AI85" i="52"/>
  <c r="AH85" i="52"/>
  <c r="AG84" i="52"/>
  <c r="AE84" i="52"/>
  <c r="AD5" i="52" s="1"/>
  <c r="AD84" i="52"/>
  <c r="AC84" i="52"/>
  <c r="AB84" i="52"/>
  <c r="AA84" i="52"/>
  <c r="Z84" i="52"/>
  <c r="Z100" i="52" s="1"/>
  <c r="Y84" i="52"/>
  <c r="X5" i="52" s="1"/>
  <c r="X84" i="52"/>
  <c r="W5" i="52" s="1"/>
  <c r="W84" i="52"/>
  <c r="V5" i="52" s="1"/>
  <c r="V84" i="52"/>
  <c r="U84" i="52"/>
  <c r="T84" i="52"/>
  <c r="S84" i="52"/>
  <c r="R84" i="52"/>
  <c r="R100" i="52" s="1"/>
  <c r="Q84" i="52"/>
  <c r="P5" i="52" s="1"/>
  <c r="P84" i="52"/>
  <c r="P100" i="52" s="1"/>
  <c r="O84" i="52"/>
  <c r="N5" i="52" s="1"/>
  <c r="N84" i="52"/>
  <c r="M84" i="52"/>
  <c r="L5" i="52" s="1"/>
  <c r="J84" i="52"/>
  <c r="I84" i="52"/>
  <c r="H5" i="52" s="1"/>
  <c r="H84" i="52"/>
  <c r="H100" i="52" s="1"/>
  <c r="G84" i="52"/>
  <c r="F5" i="52" s="1"/>
  <c r="F84" i="52"/>
  <c r="F100" i="52" s="1"/>
  <c r="E84" i="52"/>
  <c r="E100" i="52" s="1"/>
  <c r="D84" i="52"/>
  <c r="C84" i="52"/>
  <c r="AI83" i="52"/>
  <c r="AH83" i="52"/>
  <c r="AI82" i="52"/>
  <c r="AH82" i="52"/>
  <c r="AI81" i="52"/>
  <c r="AH81" i="52"/>
  <c r="AI80" i="52"/>
  <c r="AH80" i="52"/>
  <c r="AI79" i="52"/>
  <c r="AH79" i="52"/>
  <c r="AI78" i="52"/>
  <c r="AH78" i="52"/>
  <c r="AI77" i="52"/>
  <c r="AH77" i="52"/>
  <c r="AI76" i="52"/>
  <c r="AH76" i="52"/>
  <c r="AI75" i="52"/>
  <c r="AH75" i="52"/>
  <c r="AI74" i="52"/>
  <c r="AH74" i="52"/>
  <c r="AI73" i="52"/>
  <c r="AH73" i="52"/>
  <c r="AG72" i="52"/>
  <c r="AE72" i="52"/>
  <c r="AC72" i="52"/>
  <c r="AB72" i="52"/>
  <c r="AA72" i="52"/>
  <c r="AA89" i="52" s="1"/>
  <c r="AA91" i="52" s="1"/>
  <c r="Z72" i="52"/>
  <c r="Y72" i="52"/>
  <c r="X72" i="52"/>
  <c r="W72" i="52"/>
  <c r="V72" i="52"/>
  <c r="U72" i="52"/>
  <c r="T72" i="52"/>
  <c r="S72" i="52"/>
  <c r="R72" i="52"/>
  <c r="Q72" i="52"/>
  <c r="P72" i="52"/>
  <c r="O72" i="52"/>
  <c r="N72" i="52"/>
  <c r="M72" i="52"/>
  <c r="AI71" i="52"/>
  <c r="AH71" i="52"/>
  <c r="AI70" i="52"/>
  <c r="AH70" i="52"/>
  <c r="AI69" i="52"/>
  <c r="AH69" i="52"/>
  <c r="AG68" i="52"/>
  <c r="AE68" i="52"/>
  <c r="AD68" i="52"/>
  <c r="AC68" i="52"/>
  <c r="AB68" i="52"/>
  <c r="AA68" i="52"/>
  <c r="Z68" i="52"/>
  <c r="Y68" i="52"/>
  <c r="X68" i="52"/>
  <c r="W68" i="52"/>
  <c r="V68" i="52"/>
  <c r="U68" i="52"/>
  <c r="T68" i="52"/>
  <c r="S68" i="52"/>
  <c r="R68" i="52"/>
  <c r="Q68" i="52"/>
  <c r="P68" i="52"/>
  <c r="O68" i="52"/>
  <c r="N68" i="52"/>
  <c r="M68" i="52"/>
  <c r="J68" i="52"/>
  <c r="I68" i="52"/>
  <c r="H68" i="52"/>
  <c r="G68" i="52"/>
  <c r="F68" i="52"/>
  <c r="E68" i="52"/>
  <c r="D68" i="52"/>
  <c r="C68" i="52"/>
  <c r="AI67" i="52"/>
  <c r="AH67" i="52"/>
  <c r="AG67" i="52"/>
  <c r="AI66" i="52"/>
  <c r="AH66" i="52"/>
  <c r="AI65" i="52"/>
  <c r="AH65" i="52"/>
  <c r="AI64" i="52"/>
  <c r="AH64" i="52"/>
  <c r="AI63" i="52"/>
  <c r="AH63" i="52"/>
  <c r="AI62" i="52"/>
  <c r="AH62" i="52"/>
  <c r="AI61" i="52"/>
  <c r="AH61" i="52"/>
  <c r="AI60" i="52"/>
  <c r="AH60" i="52"/>
  <c r="AI59" i="52"/>
  <c r="AH59" i="52"/>
  <c r="AI58" i="52"/>
  <c r="AH58" i="52"/>
  <c r="AI57" i="52"/>
  <c r="AH57" i="52"/>
  <c r="AI56" i="52"/>
  <c r="AH56" i="52"/>
  <c r="AI55" i="52"/>
  <c r="AH55" i="52"/>
  <c r="AG54" i="52"/>
  <c r="AE54" i="52"/>
  <c r="AD54" i="52"/>
  <c r="AC54" i="52"/>
  <c r="AB54" i="52"/>
  <c r="AA54" i="52"/>
  <c r="Z54" i="52"/>
  <c r="Y54" i="52"/>
  <c r="X54" i="52"/>
  <c r="W54" i="52"/>
  <c r="V54" i="52"/>
  <c r="U54" i="52"/>
  <c r="T54" i="52"/>
  <c r="S54" i="52"/>
  <c r="R54" i="52"/>
  <c r="Q54" i="52"/>
  <c r="P54" i="52"/>
  <c r="O54" i="52"/>
  <c r="N54" i="52"/>
  <c r="M54" i="52"/>
  <c r="J54" i="52"/>
  <c r="I54" i="52"/>
  <c r="H54" i="52"/>
  <c r="G54" i="52"/>
  <c r="F54" i="52"/>
  <c r="E54" i="52"/>
  <c r="D54" i="52"/>
  <c r="C54" i="52"/>
  <c r="AI53" i="52"/>
  <c r="AH53" i="52"/>
  <c r="AI52" i="52"/>
  <c r="AH52" i="52"/>
  <c r="AI51" i="52"/>
  <c r="AH51" i="52"/>
  <c r="AG50" i="52"/>
  <c r="AE50" i="52"/>
  <c r="AD50" i="52"/>
  <c r="AC50" i="52"/>
  <c r="AB50" i="52"/>
  <c r="Z50" i="52"/>
  <c r="Y50" i="52"/>
  <c r="X50" i="52"/>
  <c r="W50" i="52"/>
  <c r="V50" i="52"/>
  <c r="U50" i="52"/>
  <c r="T50" i="52"/>
  <c r="S50" i="52"/>
  <c r="R50" i="52"/>
  <c r="Q50" i="52"/>
  <c r="P50" i="52"/>
  <c r="O50" i="52"/>
  <c r="N50" i="52"/>
  <c r="M50" i="52"/>
  <c r="J50" i="52"/>
  <c r="I50" i="52"/>
  <c r="H50" i="52"/>
  <c r="G50" i="52"/>
  <c r="F50" i="52"/>
  <c r="E50" i="52"/>
  <c r="D50" i="52"/>
  <c r="C50" i="52"/>
  <c r="AI49" i="52"/>
  <c r="AI48" i="52"/>
  <c r="AH48" i="52"/>
  <c r="AI47" i="52"/>
  <c r="AH47" i="52"/>
  <c r="AI46" i="52"/>
  <c r="AH46" i="52"/>
  <c r="AI45" i="52"/>
  <c r="AH45" i="52"/>
  <c r="AI44" i="52"/>
  <c r="AH44" i="52"/>
  <c r="AI43" i="52"/>
  <c r="AH43" i="52"/>
  <c r="AI42" i="52"/>
  <c r="AH42" i="52"/>
  <c r="AI41" i="52"/>
  <c r="AH41" i="52"/>
  <c r="AI40" i="52"/>
  <c r="AH40" i="52"/>
  <c r="AI39" i="52"/>
  <c r="AH39" i="52"/>
  <c r="AI38" i="52"/>
  <c r="AH38" i="52"/>
  <c r="AI37" i="52"/>
  <c r="AH37" i="52"/>
  <c r="AI36" i="52"/>
  <c r="AH36" i="52"/>
  <c r="AI35" i="52"/>
  <c r="AH35" i="52"/>
  <c r="AI34" i="52"/>
  <c r="AH34" i="52"/>
  <c r="AI33" i="52"/>
  <c r="AH33" i="52"/>
  <c r="AI32" i="52"/>
  <c r="AH32" i="52"/>
  <c r="AI31" i="52"/>
  <c r="AH31" i="52"/>
  <c r="AI30" i="52"/>
  <c r="AH30" i="52"/>
  <c r="AI29" i="52"/>
  <c r="AH29" i="52"/>
  <c r="AI28" i="52"/>
  <c r="AH28" i="52"/>
  <c r="AI27" i="52"/>
  <c r="AH27" i="52"/>
  <c r="AI26" i="52"/>
  <c r="AH26" i="52"/>
  <c r="AI25" i="52"/>
  <c r="AH25" i="52"/>
  <c r="AI24" i="52"/>
  <c r="AH24" i="52"/>
  <c r="AI23" i="52"/>
  <c r="AH23" i="52"/>
  <c r="AI22" i="52"/>
  <c r="AH22" i="52"/>
  <c r="AI21" i="52"/>
  <c r="AH21" i="52"/>
  <c r="AI20" i="52"/>
  <c r="AH20" i="52"/>
  <c r="AI19" i="52"/>
  <c r="AH19" i="52"/>
  <c r="AI18" i="52"/>
  <c r="AH18" i="52"/>
  <c r="AI17" i="52"/>
  <c r="AH17" i="52"/>
  <c r="AI16" i="52"/>
  <c r="AH16" i="52"/>
  <c r="AI15" i="52"/>
  <c r="AH15" i="52"/>
  <c r="AI14" i="52"/>
  <c r="AH14" i="52"/>
  <c r="AI13" i="52"/>
  <c r="AH13" i="52"/>
  <c r="AI12" i="52"/>
  <c r="AH12" i="52"/>
  <c r="AI11" i="52"/>
  <c r="AH11" i="52"/>
  <c r="AE5" i="52"/>
  <c r="Z5" i="52"/>
  <c r="AG4" i="52"/>
  <c r="K4" i="52"/>
  <c r="E4" i="52"/>
  <c r="H4" i="52" s="1"/>
  <c r="B4" i="52"/>
  <c r="S246" i="52" s="1"/>
  <c r="AG2" i="52"/>
  <c r="AE84" i="51"/>
  <c r="AF84" i="51"/>
  <c r="C92" i="51"/>
  <c r="D92" i="51"/>
  <c r="E92" i="51"/>
  <c r="F92" i="51"/>
  <c r="G92" i="51"/>
  <c r="H92" i="51"/>
  <c r="I92" i="51"/>
  <c r="J92" i="51"/>
  <c r="K92" i="51"/>
  <c r="L92" i="51"/>
  <c r="M92" i="51"/>
  <c r="N92" i="51"/>
  <c r="O92" i="51"/>
  <c r="P92" i="51"/>
  <c r="Q92" i="51"/>
  <c r="R92" i="51"/>
  <c r="S92" i="51"/>
  <c r="T92" i="51"/>
  <c r="U92" i="51"/>
  <c r="V92" i="51"/>
  <c r="W92" i="51"/>
  <c r="X92" i="51"/>
  <c r="Y92" i="51"/>
  <c r="Z92" i="51"/>
  <c r="AA92" i="51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B92" i="51"/>
  <c r="AB50" i="51"/>
  <c r="AB54" i="51"/>
  <c r="Z49" i="51"/>
  <c r="K6" i="53" l="1"/>
  <c r="A7" i="53"/>
  <c r="F270" i="53"/>
  <c r="H234" i="53"/>
  <c r="G229" i="53"/>
  <c r="F110" i="53"/>
  <c r="F235" i="53"/>
  <c r="AI92" i="53"/>
  <c r="AH92" i="53"/>
  <c r="AE89" i="52"/>
  <c r="AE91" i="52" s="1"/>
  <c r="AE92" i="52" s="1"/>
  <c r="E234" i="52"/>
  <c r="D270" i="52" s="1"/>
  <c r="S100" i="52"/>
  <c r="D235" i="52"/>
  <c r="L100" i="52"/>
  <c r="J100" i="52"/>
  <c r="K89" i="52"/>
  <c r="K91" i="52" s="1"/>
  <c r="K92" i="52" s="1"/>
  <c r="T100" i="52"/>
  <c r="C100" i="52"/>
  <c r="U100" i="52"/>
  <c r="AC100" i="52"/>
  <c r="AG89" i="52"/>
  <c r="AB100" i="52"/>
  <c r="D100" i="52"/>
  <c r="V100" i="52"/>
  <c r="AD100" i="52"/>
  <c r="AC5" i="52"/>
  <c r="AD89" i="52"/>
  <c r="AD91" i="52" s="1"/>
  <c r="AD92" i="52" s="1"/>
  <c r="AB5" i="52"/>
  <c r="AC89" i="52"/>
  <c r="AC91" i="52" s="1"/>
  <c r="AU249" i="52" s="1"/>
  <c r="AB89" i="52"/>
  <c r="AB91" i="52" s="1"/>
  <c r="AB7" i="52" s="1"/>
  <c r="AA100" i="52"/>
  <c r="Z89" i="52"/>
  <c r="Z91" i="52" s="1"/>
  <c r="Z92" i="52" s="1"/>
  <c r="Y100" i="52"/>
  <c r="Y89" i="52"/>
  <c r="Y91" i="52" s="1"/>
  <c r="Y92" i="52" s="1"/>
  <c r="X89" i="52"/>
  <c r="X91" i="52" s="1"/>
  <c r="X92" i="52" s="1"/>
  <c r="X100" i="52"/>
  <c r="W89" i="52"/>
  <c r="W91" i="52" s="1"/>
  <c r="AO249" i="52" s="1"/>
  <c r="V89" i="52"/>
  <c r="V91" i="52" s="1"/>
  <c r="V7" i="52" s="1"/>
  <c r="U5" i="52"/>
  <c r="U89" i="52"/>
  <c r="U91" i="52" s="1"/>
  <c r="AM249" i="52" s="1"/>
  <c r="T5" i="52"/>
  <c r="T89" i="52"/>
  <c r="T91" i="52" s="1"/>
  <c r="T92" i="52" s="1"/>
  <c r="S89" i="52"/>
  <c r="S91" i="52" s="1"/>
  <c r="S7" i="52" s="1"/>
  <c r="R5" i="52"/>
  <c r="R89" i="52"/>
  <c r="R91" i="52" s="1"/>
  <c r="R7" i="52" s="1"/>
  <c r="Q100" i="52"/>
  <c r="Q89" i="52"/>
  <c r="Q91" i="52" s="1"/>
  <c r="Q92" i="52" s="1"/>
  <c r="O5" i="52"/>
  <c r="P89" i="52"/>
  <c r="P91" i="52" s="1"/>
  <c r="P7" i="52" s="1"/>
  <c r="AH72" i="52"/>
  <c r="O89" i="52"/>
  <c r="O91" i="52" s="1"/>
  <c r="AG249" i="52" s="1"/>
  <c r="N100" i="52"/>
  <c r="M5" i="52"/>
  <c r="AI72" i="52"/>
  <c r="N89" i="52"/>
  <c r="N91" i="52" s="1"/>
  <c r="N92" i="52" s="1"/>
  <c r="M89" i="52"/>
  <c r="M91" i="52" s="1"/>
  <c r="AE249" i="52" s="1"/>
  <c r="M100" i="52"/>
  <c r="J5" i="52"/>
  <c r="L89" i="52"/>
  <c r="L91" i="52" s="1"/>
  <c r="L92" i="52" s="1"/>
  <c r="AI99" i="52"/>
  <c r="K100" i="52"/>
  <c r="G5" i="52"/>
  <c r="H89" i="52"/>
  <c r="H91" i="52" s="1"/>
  <c r="H92" i="52" s="1"/>
  <c r="E5" i="52"/>
  <c r="D5" i="52"/>
  <c r="I100" i="52"/>
  <c r="E89" i="52"/>
  <c r="E91" i="52" s="1"/>
  <c r="E7" i="52" s="1"/>
  <c r="D89" i="52"/>
  <c r="D91" i="52" s="1"/>
  <c r="D92" i="52" s="1"/>
  <c r="F89" i="52"/>
  <c r="F91" i="52" s="1"/>
  <c r="X249" i="52" s="1"/>
  <c r="G89" i="52"/>
  <c r="G91" i="52" s="1"/>
  <c r="Y249" i="52" s="1"/>
  <c r="AI68" i="52"/>
  <c r="AI54" i="52"/>
  <c r="I89" i="52"/>
  <c r="I91" i="52" s="1"/>
  <c r="I7" i="52" s="1"/>
  <c r="J89" i="52"/>
  <c r="J91" i="52" s="1"/>
  <c r="J92" i="52" s="1"/>
  <c r="W249" i="52"/>
  <c r="AI50" i="52"/>
  <c r="B5" i="52"/>
  <c r="AI84" i="52"/>
  <c r="AH68" i="52"/>
  <c r="AH54" i="52"/>
  <c r="K7" i="52"/>
  <c r="AC249" i="52"/>
  <c r="S92" i="52"/>
  <c r="AA92" i="52"/>
  <c r="AS249" i="52"/>
  <c r="AA7" i="52"/>
  <c r="V92" i="52"/>
  <c r="O92" i="52"/>
  <c r="O7" i="52"/>
  <c r="AX249" i="52"/>
  <c r="AF7" i="52"/>
  <c r="J232" i="52"/>
  <c r="K232" i="52" s="1"/>
  <c r="L232" i="52" s="1"/>
  <c r="M232" i="52" s="1"/>
  <c r="N232" i="52" s="1"/>
  <c r="O232" i="52" s="1"/>
  <c r="P232" i="52" s="1"/>
  <c r="R92" i="52"/>
  <c r="L7" i="52"/>
  <c r="AD249" i="52"/>
  <c r="AF5" i="52"/>
  <c r="I5" i="52"/>
  <c r="Q5" i="52"/>
  <c r="Y5" i="52"/>
  <c r="AH50" i="52"/>
  <c r="C89" i="52"/>
  <c r="C91" i="52" s="1"/>
  <c r="G100" i="52"/>
  <c r="O100" i="52"/>
  <c r="W100" i="52"/>
  <c r="AE100" i="52"/>
  <c r="D110" i="52"/>
  <c r="D246" i="52"/>
  <c r="AH99" i="52"/>
  <c r="K5" i="52"/>
  <c r="AA5" i="52"/>
  <c r="F234" i="52"/>
  <c r="C5" i="52"/>
  <c r="S5" i="52"/>
  <c r="AG3" i="52"/>
  <c r="AG6" i="52" s="1"/>
  <c r="E229" i="52"/>
  <c r="AH84" i="52"/>
  <c r="B235" i="52"/>
  <c r="H229" i="53" l="1"/>
  <c r="G110" i="53"/>
  <c r="G235" i="53"/>
  <c r="G270" i="53"/>
  <c r="I234" i="53"/>
  <c r="AW249" i="52"/>
  <c r="AE7" i="52"/>
  <c r="AN249" i="52"/>
  <c r="AJ249" i="52"/>
  <c r="W7" i="52"/>
  <c r="Z7" i="52"/>
  <c r="U92" i="52"/>
  <c r="AR249" i="52"/>
  <c r="W92" i="52"/>
  <c r="U7" i="52"/>
  <c r="AV249" i="52"/>
  <c r="AD7" i="52"/>
  <c r="AC92" i="52"/>
  <c r="AC7" i="52"/>
  <c r="AB92" i="52"/>
  <c r="AT249" i="52"/>
  <c r="AQ249" i="52"/>
  <c r="Y7" i="52"/>
  <c r="AP249" i="52"/>
  <c r="X7" i="52"/>
  <c r="AL249" i="52"/>
  <c r="T7" i="52"/>
  <c r="AK249" i="52"/>
  <c r="AH249" i="52"/>
  <c r="AI249" i="52"/>
  <c r="Q7" i="52"/>
  <c r="P92" i="52"/>
  <c r="M92" i="52"/>
  <c r="N7" i="52"/>
  <c r="AF249" i="52"/>
  <c r="M7" i="52"/>
  <c r="Z249" i="52"/>
  <c r="V249" i="52"/>
  <c r="J7" i="52"/>
  <c r="AB249" i="52"/>
  <c r="I92" i="52"/>
  <c r="H7" i="52"/>
  <c r="F7" i="52"/>
  <c r="E92" i="52"/>
  <c r="G92" i="52"/>
  <c r="B244" i="52"/>
  <c r="F92" i="52"/>
  <c r="D7" i="52"/>
  <c r="G7" i="52"/>
  <c r="C244" i="52"/>
  <c r="K6" i="52" s="1"/>
  <c r="AA249" i="52"/>
  <c r="E270" i="52"/>
  <c r="G234" i="52"/>
  <c r="AI100" i="52"/>
  <c r="AH100" i="52"/>
  <c r="F229" i="52"/>
  <c r="E110" i="52"/>
  <c r="E235" i="52"/>
  <c r="AI89" i="52"/>
  <c r="C92" i="52"/>
  <c r="U249" i="52"/>
  <c r="C7" i="52"/>
  <c r="AI91" i="52"/>
  <c r="AH91" i="52"/>
  <c r="B7" i="52"/>
  <c r="T249" i="52"/>
  <c r="AH89" i="52"/>
  <c r="H270" i="53" l="1"/>
  <c r="J234" i="53"/>
  <c r="I229" i="53"/>
  <c r="H110" i="53"/>
  <c r="H235" i="53"/>
  <c r="AI92" i="52"/>
  <c r="AH92" i="52"/>
  <c r="G229" i="52"/>
  <c r="F235" i="52"/>
  <c r="F110" i="52"/>
  <c r="F270" i="52"/>
  <c r="H234" i="52"/>
  <c r="A7" i="52"/>
  <c r="I110" i="53" l="1"/>
  <c r="J229" i="53"/>
  <c r="K234" i="53"/>
  <c r="I270" i="53"/>
  <c r="G270" i="52"/>
  <c r="I234" i="52"/>
  <c r="H229" i="52"/>
  <c r="G110" i="52"/>
  <c r="G235" i="52"/>
  <c r="J270" i="53" l="1"/>
  <c r="L234" i="53"/>
  <c r="J110" i="53"/>
  <c r="K229" i="53"/>
  <c r="I229" i="52"/>
  <c r="H110" i="52"/>
  <c r="H235" i="52"/>
  <c r="H270" i="52"/>
  <c r="J234" i="52"/>
  <c r="K110" i="53" l="1"/>
  <c r="L229" i="53"/>
  <c r="M234" i="53"/>
  <c r="K270" i="53"/>
  <c r="K234" i="52"/>
  <c r="I270" i="52"/>
  <c r="I110" i="52"/>
  <c r="J229" i="52"/>
  <c r="L270" i="53" l="1"/>
  <c r="N234" i="53"/>
  <c r="M229" i="53"/>
  <c r="L110" i="53"/>
  <c r="J110" i="52"/>
  <c r="K229" i="52"/>
  <c r="K110" i="52" s="1"/>
  <c r="J270" i="52"/>
  <c r="L234" i="52"/>
  <c r="N229" i="53" l="1"/>
  <c r="M110" i="53"/>
  <c r="M270" i="53"/>
  <c r="O234" i="53"/>
  <c r="K270" i="52"/>
  <c r="M234" i="52"/>
  <c r="L229" i="52"/>
  <c r="L110" i="52" s="1"/>
  <c r="N270" i="53" l="1"/>
  <c r="P234" i="53"/>
  <c r="O270" i="53" s="1"/>
  <c r="O229" i="53"/>
  <c r="N110" i="53"/>
  <c r="M229" i="52"/>
  <c r="L270" i="52"/>
  <c r="N234" i="52"/>
  <c r="P229" i="53" l="1"/>
  <c r="O110" i="53"/>
  <c r="M270" i="52"/>
  <c r="O234" i="52"/>
  <c r="N229" i="52"/>
  <c r="M110" i="52"/>
  <c r="AI110" i="53" l="1"/>
  <c r="AH110" i="53"/>
  <c r="O229" i="52"/>
  <c r="N110" i="52"/>
  <c r="N270" i="52"/>
  <c r="P234" i="52"/>
  <c r="O270" i="52" s="1"/>
  <c r="P229" i="52" l="1"/>
  <c r="O110" i="52"/>
  <c r="AH110" i="52" l="1"/>
  <c r="AI110" i="52"/>
  <c r="Y49" i="51" l="1"/>
  <c r="X113" i="51"/>
  <c r="X49" i="51"/>
  <c r="W113" i="51"/>
  <c r="W49" i="51"/>
  <c r="V49" i="51"/>
  <c r="U49" i="51"/>
  <c r="T49" i="51"/>
  <c r="S113" i="51" l="1"/>
  <c r="S49" i="51"/>
  <c r="R113" i="51"/>
  <c r="R49" i="51"/>
  <c r="Q113" i="51" l="1"/>
  <c r="Q49" i="51"/>
  <c r="P113" i="51" l="1"/>
  <c r="P49" i="51"/>
  <c r="O113" i="51"/>
  <c r="O49" i="51"/>
  <c r="N113" i="51"/>
  <c r="N49" i="51"/>
  <c r="M113" i="51" l="1"/>
  <c r="M49" i="51"/>
  <c r="H50" i="51"/>
  <c r="I50" i="51"/>
  <c r="J50" i="51"/>
  <c r="K50" i="51"/>
  <c r="L50" i="51"/>
  <c r="G50" i="51" l="1"/>
  <c r="F50" i="51"/>
  <c r="E50" i="51"/>
  <c r="AF274" i="51"/>
  <c r="AE274" i="51"/>
  <c r="AD274" i="51"/>
  <c r="AC274" i="51"/>
  <c r="AB274" i="51"/>
  <c r="AA274" i="51"/>
  <c r="Z274" i="51"/>
  <c r="Y274" i="51"/>
  <c r="X274" i="51"/>
  <c r="W274" i="51"/>
  <c r="V274" i="51"/>
  <c r="U274" i="51"/>
  <c r="T274" i="51"/>
  <c r="S274" i="51"/>
  <c r="R274" i="51"/>
  <c r="Q274" i="51"/>
  <c r="P274" i="51"/>
  <c r="O274" i="51"/>
  <c r="N274" i="51"/>
  <c r="M274" i="51"/>
  <c r="L274" i="51"/>
  <c r="K274" i="51"/>
  <c r="J274" i="51"/>
  <c r="I274" i="51"/>
  <c r="H274" i="51"/>
  <c r="G274" i="51"/>
  <c r="F274" i="51"/>
  <c r="E274" i="51"/>
  <c r="D274" i="51"/>
  <c r="C274" i="51"/>
  <c r="B274" i="51"/>
  <c r="A274" i="51"/>
  <c r="AF273" i="51"/>
  <c r="AE273" i="51"/>
  <c r="AD273" i="51"/>
  <c r="AC273" i="51"/>
  <c r="AB273" i="51"/>
  <c r="AA273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M273" i="51"/>
  <c r="L273" i="51"/>
  <c r="K273" i="51"/>
  <c r="J273" i="51"/>
  <c r="I273" i="51"/>
  <c r="H273" i="51"/>
  <c r="G273" i="51"/>
  <c r="F273" i="51"/>
  <c r="E273" i="51"/>
  <c r="D273" i="51"/>
  <c r="C273" i="51"/>
  <c r="B273" i="51"/>
  <c r="A273" i="51"/>
  <c r="AF272" i="51"/>
  <c r="AE272" i="51"/>
  <c r="AD272" i="51"/>
  <c r="AC272" i="51"/>
  <c r="AB272" i="51"/>
  <c r="AA272" i="51"/>
  <c r="Z272" i="51"/>
  <c r="Y272" i="51"/>
  <c r="X272" i="51"/>
  <c r="W272" i="51"/>
  <c r="V272" i="51"/>
  <c r="U272" i="51"/>
  <c r="T272" i="51"/>
  <c r="S272" i="51"/>
  <c r="R272" i="51"/>
  <c r="Q272" i="51"/>
  <c r="P272" i="51"/>
  <c r="O272" i="51"/>
  <c r="N272" i="51"/>
  <c r="M272" i="51"/>
  <c r="L272" i="51"/>
  <c r="K272" i="51"/>
  <c r="J272" i="51"/>
  <c r="I272" i="51"/>
  <c r="H272" i="51"/>
  <c r="G272" i="51"/>
  <c r="F272" i="51"/>
  <c r="E272" i="51"/>
  <c r="D272" i="51"/>
  <c r="C272" i="51"/>
  <c r="B272" i="51"/>
  <c r="A272" i="51"/>
  <c r="AF271" i="51"/>
  <c r="AE271" i="51"/>
  <c r="AD271" i="51"/>
  <c r="AC271" i="51"/>
  <c r="AB271" i="51"/>
  <c r="AA271" i="51"/>
  <c r="Z271" i="51"/>
  <c r="Y271" i="51"/>
  <c r="X271" i="51"/>
  <c r="W271" i="51"/>
  <c r="V271" i="51"/>
  <c r="U271" i="51"/>
  <c r="T271" i="51"/>
  <c r="S271" i="51"/>
  <c r="R271" i="51"/>
  <c r="Q271" i="51"/>
  <c r="P271" i="51"/>
  <c r="O271" i="51"/>
  <c r="N271" i="51"/>
  <c r="M271" i="51"/>
  <c r="L271" i="51"/>
  <c r="K271" i="51"/>
  <c r="J271" i="51"/>
  <c r="I271" i="51"/>
  <c r="H271" i="51"/>
  <c r="G271" i="51"/>
  <c r="F271" i="51"/>
  <c r="E271" i="51"/>
  <c r="D271" i="51"/>
  <c r="C271" i="51"/>
  <c r="B271" i="51"/>
  <c r="A271" i="51"/>
  <c r="AE270" i="51"/>
  <c r="AD270" i="51"/>
  <c r="AC270" i="51"/>
  <c r="AB270" i="51"/>
  <c r="AA270" i="51"/>
  <c r="Z270" i="51"/>
  <c r="Y270" i="51"/>
  <c r="X270" i="51"/>
  <c r="W270" i="51"/>
  <c r="V270" i="51"/>
  <c r="U270" i="51"/>
  <c r="T270" i="51"/>
  <c r="S270" i="51"/>
  <c r="R270" i="51"/>
  <c r="Q270" i="51"/>
  <c r="P270" i="51"/>
  <c r="C270" i="51"/>
  <c r="B270" i="51"/>
  <c r="S245" i="51"/>
  <c r="AG235" i="51"/>
  <c r="AF235" i="51"/>
  <c r="AE235" i="51"/>
  <c r="AD235" i="51"/>
  <c r="AC235" i="51"/>
  <c r="AB235" i="51"/>
  <c r="AA235" i="51"/>
  <c r="Z235" i="51"/>
  <c r="Y235" i="51"/>
  <c r="X235" i="51"/>
  <c r="W235" i="51"/>
  <c r="V235" i="51"/>
  <c r="U235" i="51"/>
  <c r="T235" i="51"/>
  <c r="S235" i="51"/>
  <c r="R235" i="51"/>
  <c r="Q235" i="51"/>
  <c r="C235" i="51"/>
  <c r="D234" i="51"/>
  <c r="E234" i="51" s="1"/>
  <c r="F234" i="51" s="1"/>
  <c r="B234" i="51"/>
  <c r="AF270" i="51" s="1"/>
  <c r="D233" i="51"/>
  <c r="E233" i="51" s="1"/>
  <c r="F233" i="51" s="1"/>
  <c r="G233" i="51" s="1"/>
  <c r="H233" i="51" s="1"/>
  <c r="I233" i="51" s="1"/>
  <c r="J233" i="51" s="1"/>
  <c r="K233" i="51" s="1"/>
  <c r="L233" i="51" s="1"/>
  <c r="M233" i="51" s="1"/>
  <c r="N233" i="51" s="1"/>
  <c r="O233" i="51" s="1"/>
  <c r="P233" i="51" s="1"/>
  <c r="B233" i="51"/>
  <c r="E232" i="51"/>
  <c r="F232" i="51" s="1"/>
  <c r="G232" i="51" s="1"/>
  <c r="H232" i="51" s="1"/>
  <c r="I232" i="51" s="1"/>
  <c r="D232" i="51"/>
  <c r="B232" i="51"/>
  <c r="E231" i="51"/>
  <c r="F231" i="51" s="1"/>
  <c r="G231" i="51" s="1"/>
  <c r="H231" i="51" s="1"/>
  <c r="D231" i="51"/>
  <c r="B231" i="51"/>
  <c r="E230" i="51"/>
  <c r="F230" i="51" s="1"/>
  <c r="G230" i="51" s="1"/>
  <c r="H230" i="51" s="1"/>
  <c r="I230" i="51" s="1"/>
  <c r="J230" i="51" s="1"/>
  <c r="K230" i="51" s="1"/>
  <c r="L230" i="51" s="1"/>
  <c r="M230" i="51" s="1"/>
  <c r="N230" i="51" s="1"/>
  <c r="O230" i="51" s="1"/>
  <c r="P230" i="51" s="1"/>
  <c r="D230" i="51"/>
  <c r="B230" i="51"/>
  <c r="D229" i="51"/>
  <c r="D235" i="51" s="1"/>
  <c r="B229" i="51"/>
  <c r="B110" i="51" s="1"/>
  <c r="AG227" i="51"/>
  <c r="AF227" i="51"/>
  <c r="AE227" i="51"/>
  <c r="AD227" i="51"/>
  <c r="AC227" i="51"/>
  <c r="AB227" i="51"/>
  <c r="AA227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M227" i="51"/>
  <c r="L227" i="51"/>
  <c r="K227" i="51"/>
  <c r="J227" i="51"/>
  <c r="I227" i="51"/>
  <c r="H227" i="51"/>
  <c r="G227" i="51"/>
  <c r="F227" i="51"/>
  <c r="E227" i="51"/>
  <c r="D227" i="51"/>
  <c r="C227" i="51"/>
  <c r="B227" i="51"/>
  <c r="AI120" i="51"/>
  <c r="AH120" i="51"/>
  <c r="AI119" i="51"/>
  <c r="AH119" i="51"/>
  <c r="AI118" i="51"/>
  <c r="AH118" i="51"/>
  <c r="AI117" i="51"/>
  <c r="AH117" i="51"/>
  <c r="AI116" i="51"/>
  <c r="AH116" i="51"/>
  <c r="AI115" i="51"/>
  <c r="AH115" i="51"/>
  <c r="AI114" i="51"/>
  <c r="AH114" i="51"/>
  <c r="AI113" i="51"/>
  <c r="AH113" i="51"/>
  <c r="AI112" i="51"/>
  <c r="AH112" i="51"/>
  <c r="AI111" i="51"/>
  <c r="AH111" i="51"/>
  <c r="AF110" i="51"/>
  <c r="AE110" i="51"/>
  <c r="AC110" i="51"/>
  <c r="AB110" i="51"/>
  <c r="AA110" i="51"/>
  <c r="Z110" i="51"/>
  <c r="Y110" i="51"/>
  <c r="X110" i="51"/>
  <c r="W110" i="51"/>
  <c r="V110" i="51"/>
  <c r="U110" i="51"/>
  <c r="T110" i="51"/>
  <c r="S110" i="51"/>
  <c r="R110" i="51"/>
  <c r="Q110" i="51"/>
  <c r="C110" i="51"/>
  <c r="AI109" i="51"/>
  <c r="AH109" i="51"/>
  <c r="AI108" i="51"/>
  <c r="AH108" i="51"/>
  <c r="AI107" i="51"/>
  <c r="AH107" i="51"/>
  <c r="AI106" i="51"/>
  <c r="AH106" i="51"/>
  <c r="AI105" i="51"/>
  <c r="AH105" i="51"/>
  <c r="AI104" i="51"/>
  <c r="AH104" i="51"/>
  <c r="AI103" i="51"/>
  <c r="AH103" i="51"/>
  <c r="AI102" i="51"/>
  <c r="AH102" i="51"/>
  <c r="AI101" i="51"/>
  <c r="AH101" i="51"/>
  <c r="AF99" i="51"/>
  <c r="AE99" i="51"/>
  <c r="AD99" i="51"/>
  <c r="AC99" i="51"/>
  <c r="AB99" i="51"/>
  <c r="AA99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M99" i="51"/>
  <c r="L99" i="51"/>
  <c r="K99" i="51"/>
  <c r="J99" i="51"/>
  <c r="I99" i="51"/>
  <c r="H99" i="51"/>
  <c r="G99" i="51"/>
  <c r="F99" i="51"/>
  <c r="E99" i="51"/>
  <c r="D99" i="51"/>
  <c r="C99" i="51"/>
  <c r="B99" i="51"/>
  <c r="AI98" i="51"/>
  <c r="AH98" i="51"/>
  <c r="AI97" i="51"/>
  <c r="AH97" i="51"/>
  <c r="AI96" i="51"/>
  <c r="AH96" i="51"/>
  <c r="AI95" i="51"/>
  <c r="AH95" i="51"/>
  <c r="AI94" i="51"/>
  <c r="AH94" i="51"/>
  <c r="AI93" i="51"/>
  <c r="AH93" i="51"/>
  <c r="AI90" i="51"/>
  <c r="AH90" i="51"/>
  <c r="AI88" i="51"/>
  <c r="AH88" i="51"/>
  <c r="AG88" i="51"/>
  <c r="AI87" i="51"/>
  <c r="AH87" i="51"/>
  <c r="AI86" i="51"/>
  <c r="AH86" i="51"/>
  <c r="AI85" i="51"/>
  <c r="AH85" i="51"/>
  <c r="AG84" i="51"/>
  <c r="AE5" i="51"/>
  <c r="AD5" i="51"/>
  <c r="AD84" i="51"/>
  <c r="AC84" i="51"/>
  <c r="AC100" i="51" s="1"/>
  <c r="AB84" i="51"/>
  <c r="AB100" i="51" s="1"/>
  <c r="AA84" i="51"/>
  <c r="AA100" i="51" s="1"/>
  <c r="Z84" i="51"/>
  <c r="Z100" i="51" s="1"/>
  <c r="Y84" i="51"/>
  <c r="X5" i="51" s="1"/>
  <c r="X84" i="51"/>
  <c r="W5" i="51" s="1"/>
  <c r="W84" i="51"/>
  <c r="V5" i="51" s="1"/>
  <c r="V84" i="51"/>
  <c r="U84" i="51"/>
  <c r="U100" i="51" s="1"/>
  <c r="T84" i="51"/>
  <c r="S84" i="51"/>
  <c r="S100" i="51" s="1"/>
  <c r="R84" i="51"/>
  <c r="R100" i="51" s="1"/>
  <c r="Q84" i="51"/>
  <c r="P5" i="51" s="1"/>
  <c r="P84" i="51"/>
  <c r="O5" i="51" s="1"/>
  <c r="O84" i="51"/>
  <c r="N5" i="51" s="1"/>
  <c r="N84" i="51"/>
  <c r="M84" i="51"/>
  <c r="M100" i="51" s="1"/>
  <c r="L84" i="51"/>
  <c r="K84" i="51"/>
  <c r="K100" i="51" s="1"/>
  <c r="J84" i="51"/>
  <c r="I5" i="51" s="1"/>
  <c r="I84" i="51"/>
  <c r="H5" i="51" s="1"/>
  <c r="H84" i="51"/>
  <c r="G5" i="51" s="1"/>
  <c r="G84" i="51"/>
  <c r="F5" i="51" s="1"/>
  <c r="F84" i="51"/>
  <c r="F100" i="51" s="1"/>
  <c r="E84" i="51"/>
  <c r="D84" i="51"/>
  <c r="D100" i="51" s="1"/>
  <c r="C84" i="51"/>
  <c r="C100" i="51" s="1"/>
  <c r="B84" i="51"/>
  <c r="AI83" i="51"/>
  <c r="AH83" i="51"/>
  <c r="AI82" i="51"/>
  <c r="AH82" i="51"/>
  <c r="AI81" i="51"/>
  <c r="AH81" i="51"/>
  <c r="AI80" i="51"/>
  <c r="AH80" i="51"/>
  <c r="AI79" i="51"/>
  <c r="AH79" i="51"/>
  <c r="AI78" i="51"/>
  <c r="AH78" i="51"/>
  <c r="AI77" i="51"/>
  <c r="AH77" i="51"/>
  <c r="AI76" i="51"/>
  <c r="AH76" i="51"/>
  <c r="AI75" i="51"/>
  <c r="AH75" i="51"/>
  <c r="AI74" i="51"/>
  <c r="AH74" i="51"/>
  <c r="AI73" i="51"/>
  <c r="AH73" i="51"/>
  <c r="AG72" i="51"/>
  <c r="AF72" i="51"/>
  <c r="AE72" i="51"/>
  <c r="AD72" i="51"/>
  <c r="AC72" i="51"/>
  <c r="AB72" i="51"/>
  <c r="AA72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M72" i="51"/>
  <c r="L72" i="51"/>
  <c r="B72" i="51"/>
  <c r="AI71" i="51"/>
  <c r="AH71" i="51"/>
  <c r="AI70" i="51"/>
  <c r="AH70" i="51"/>
  <c r="AI69" i="51"/>
  <c r="AH69" i="51"/>
  <c r="AF68" i="51"/>
  <c r="AE68" i="51"/>
  <c r="AD68" i="51"/>
  <c r="AC68" i="51"/>
  <c r="AB68" i="51"/>
  <c r="AA68" i="51"/>
  <c r="Z68" i="51"/>
  <c r="Y68" i="51"/>
  <c r="X68" i="51"/>
  <c r="W68" i="51"/>
  <c r="V68" i="51"/>
  <c r="U68" i="51"/>
  <c r="T68" i="51"/>
  <c r="S68" i="51"/>
  <c r="R68" i="51"/>
  <c r="Q68" i="51"/>
  <c r="P68" i="51"/>
  <c r="O68" i="51"/>
  <c r="N68" i="51"/>
  <c r="M68" i="51"/>
  <c r="L68" i="51"/>
  <c r="K68" i="51"/>
  <c r="K89" i="51" s="1"/>
  <c r="K91" i="51" s="1"/>
  <c r="J68" i="51"/>
  <c r="I68" i="51"/>
  <c r="H68" i="51"/>
  <c r="G68" i="51"/>
  <c r="F68" i="51"/>
  <c r="E68" i="51"/>
  <c r="D68" i="51"/>
  <c r="C68" i="51"/>
  <c r="B68" i="51"/>
  <c r="AI67" i="51"/>
  <c r="AH67" i="51"/>
  <c r="AG67" i="51"/>
  <c r="AG68" i="51" s="1"/>
  <c r="AI66" i="51"/>
  <c r="AH66" i="51"/>
  <c r="AI65" i="51"/>
  <c r="AH65" i="51"/>
  <c r="AI64" i="51"/>
  <c r="AH64" i="51"/>
  <c r="AI63" i="51"/>
  <c r="AH63" i="51"/>
  <c r="AI62" i="51"/>
  <c r="AH62" i="51"/>
  <c r="AI61" i="51"/>
  <c r="AH61" i="51"/>
  <c r="AI60" i="51"/>
  <c r="AH60" i="51"/>
  <c r="AI59" i="51"/>
  <c r="AH59" i="51"/>
  <c r="AI58" i="51"/>
  <c r="AH58" i="51"/>
  <c r="AI57" i="51"/>
  <c r="AH57" i="51"/>
  <c r="AI56" i="51"/>
  <c r="AH56" i="51"/>
  <c r="AI55" i="51"/>
  <c r="AH55" i="51"/>
  <c r="AG54" i="51"/>
  <c r="AF54" i="51"/>
  <c r="AE54" i="51"/>
  <c r="AD54" i="51"/>
  <c r="AC54" i="51"/>
  <c r="AA54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M54" i="51"/>
  <c r="L54" i="51"/>
  <c r="K54" i="51"/>
  <c r="J54" i="51"/>
  <c r="I54" i="51"/>
  <c r="H54" i="51"/>
  <c r="G54" i="51"/>
  <c r="F54" i="51"/>
  <c r="E54" i="51"/>
  <c r="D54" i="51"/>
  <c r="C54" i="51"/>
  <c r="B54" i="51"/>
  <c r="AI53" i="51"/>
  <c r="AH53" i="51"/>
  <c r="AI52" i="51"/>
  <c r="AH52" i="51"/>
  <c r="AI51" i="51"/>
  <c r="AH51" i="51"/>
  <c r="AG50" i="51"/>
  <c r="AF50" i="51"/>
  <c r="AF89" i="51" s="1"/>
  <c r="AF91" i="51" s="1"/>
  <c r="AF92" i="51" s="1"/>
  <c r="AE50" i="51"/>
  <c r="AD50" i="51"/>
  <c r="AC50" i="51"/>
  <c r="AA50" i="51"/>
  <c r="Z50" i="51"/>
  <c r="Y50" i="51"/>
  <c r="X50" i="51"/>
  <c r="W50" i="51"/>
  <c r="V50" i="51"/>
  <c r="U50" i="51"/>
  <c r="T50" i="51"/>
  <c r="S50" i="51"/>
  <c r="R50" i="51"/>
  <c r="Q50" i="51"/>
  <c r="P50" i="51"/>
  <c r="O50" i="51"/>
  <c r="N50" i="51"/>
  <c r="M50" i="51"/>
  <c r="I89" i="51"/>
  <c r="I91" i="51" s="1"/>
  <c r="D50" i="51"/>
  <c r="C50" i="51"/>
  <c r="B50" i="51"/>
  <c r="AI49" i="51"/>
  <c r="AH49" i="51"/>
  <c r="AI48" i="51"/>
  <c r="AH48" i="51"/>
  <c r="AI47" i="51"/>
  <c r="AH47" i="51"/>
  <c r="AI46" i="51"/>
  <c r="AH46" i="51"/>
  <c r="AI45" i="51"/>
  <c r="AH45" i="51"/>
  <c r="AI44" i="51"/>
  <c r="AH44" i="51"/>
  <c r="AI43" i="51"/>
  <c r="AH43" i="51"/>
  <c r="AI42" i="51"/>
  <c r="AH42" i="51"/>
  <c r="AI41" i="51"/>
  <c r="AH41" i="51"/>
  <c r="AI40" i="51"/>
  <c r="AH40" i="51"/>
  <c r="AI39" i="51"/>
  <c r="AH39" i="51"/>
  <c r="AI38" i="51"/>
  <c r="AH38" i="51"/>
  <c r="AI37" i="51"/>
  <c r="AH37" i="51"/>
  <c r="AI36" i="51"/>
  <c r="AH36" i="51"/>
  <c r="AI35" i="51"/>
  <c r="AH35" i="51"/>
  <c r="AI34" i="51"/>
  <c r="AH34" i="51"/>
  <c r="AI33" i="51"/>
  <c r="AH33" i="51"/>
  <c r="AI32" i="51"/>
  <c r="AH32" i="51"/>
  <c r="AI31" i="51"/>
  <c r="AH31" i="51"/>
  <c r="AI30" i="51"/>
  <c r="AH30" i="51"/>
  <c r="AI29" i="51"/>
  <c r="AH29" i="51"/>
  <c r="AI28" i="51"/>
  <c r="AH28" i="51"/>
  <c r="AI27" i="51"/>
  <c r="AH27" i="51"/>
  <c r="AI26" i="51"/>
  <c r="AH26" i="51"/>
  <c r="AI25" i="51"/>
  <c r="AH25" i="51"/>
  <c r="AI24" i="51"/>
  <c r="AH24" i="51"/>
  <c r="AI23" i="51"/>
  <c r="AH23" i="51"/>
  <c r="AI22" i="51"/>
  <c r="AH22" i="51"/>
  <c r="AI21" i="51"/>
  <c r="AH21" i="51"/>
  <c r="AI20" i="51"/>
  <c r="AH20" i="51"/>
  <c r="AI19" i="51"/>
  <c r="AH19" i="51"/>
  <c r="AI18" i="51"/>
  <c r="AH18" i="51"/>
  <c r="AI17" i="51"/>
  <c r="AH17" i="51"/>
  <c r="AI16" i="51"/>
  <c r="AH16" i="51"/>
  <c r="AI15" i="51"/>
  <c r="AH15" i="51"/>
  <c r="AI14" i="51"/>
  <c r="AH14" i="51"/>
  <c r="AI13" i="51"/>
  <c r="AH13" i="51"/>
  <c r="AI12" i="51"/>
  <c r="AH12" i="51"/>
  <c r="AI11" i="51"/>
  <c r="AH11" i="51"/>
  <c r="B5" i="51"/>
  <c r="AG4" i="51"/>
  <c r="K4" i="51"/>
  <c r="E4" i="51"/>
  <c r="H4" i="51" s="1"/>
  <c r="B4" i="51"/>
  <c r="D246" i="51" s="1"/>
  <c r="AG2" i="51"/>
  <c r="AF49" i="50"/>
  <c r="AE49" i="50"/>
  <c r="AD49" i="50"/>
  <c r="AC113" i="50"/>
  <c r="AC49" i="50"/>
  <c r="AB113" i="50"/>
  <c r="AB49" i="50"/>
  <c r="AA72" i="50"/>
  <c r="AA68" i="50"/>
  <c r="AA54" i="50"/>
  <c r="AA50" i="50"/>
  <c r="AA49" i="50"/>
  <c r="Z113" i="50"/>
  <c r="Z49" i="50"/>
  <c r="Z50" i="50"/>
  <c r="Z54" i="50"/>
  <c r="Z68" i="50"/>
  <c r="Z72" i="50"/>
  <c r="Y113" i="50"/>
  <c r="Y49" i="50"/>
  <c r="Y50" i="50"/>
  <c r="Y54" i="50"/>
  <c r="Y68" i="50"/>
  <c r="AD100" i="51" l="1"/>
  <c r="AC5" i="51"/>
  <c r="AB5" i="51"/>
  <c r="AC89" i="51"/>
  <c r="AC91" i="51" s="1"/>
  <c r="AB89" i="51"/>
  <c r="AB91" i="51" s="1"/>
  <c r="AB92" i="51" s="1"/>
  <c r="AA5" i="51"/>
  <c r="Y5" i="51"/>
  <c r="Z5" i="51"/>
  <c r="Y89" i="51"/>
  <c r="Y91" i="51" s="1"/>
  <c r="Y7" i="51" s="1"/>
  <c r="X89" i="51"/>
  <c r="X91" i="51" s="1"/>
  <c r="V100" i="51"/>
  <c r="U5" i="51"/>
  <c r="T5" i="51"/>
  <c r="T100" i="51"/>
  <c r="S5" i="51"/>
  <c r="U89" i="51"/>
  <c r="U91" i="51" s="1"/>
  <c r="AM249" i="51" s="1"/>
  <c r="T89" i="51"/>
  <c r="T91" i="51" s="1"/>
  <c r="T7" i="51" s="1"/>
  <c r="R5" i="51"/>
  <c r="Q5" i="51"/>
  <c r="Q89" i="51"/>
  <c r="Q91" i="51" s="1"/>
  <c r="P89" i="51"/>
  <c r="P91" i="51" s="1"/>
  <c r="P7" i="51" s="1"/>
  <c r="N100" i="51"/>
  <c r="M5" i="51"/>
  <c r="G89" i="51"/>
  <c r="G91" i="51" s="1"/>
  <c r="X100" i="51"/>
  <c r="N89" i="51"/>
  <c r="N91" i="51" s="1"/>
  <c r="AF249" i="51" s="1"/>
  <c r="V89" i="51"/>
  <c r="V91" i="51" s="1"/>
  <c r="AD89" i="51"/>
  <c r="AD91" i="51" s="1"/>
  <c r="AD92" i="51" s="1"/>
  <c r="AF100" i="51"/>
  <c r="O89" i="51"/>
  <c r="O91" i="51" s="1"/>
  <c r="AG249" i="51" s="1"/>
  <c r="W89" i="51"/>
  <c r="W91" i="51" s="1"/>
  <c r="AO249" i="51" s="1"/>
  <c r="AE89" i="51"/>
  <c r="AE91" i="51" s="1"/>
  <c r="AE92" i="51" s="1"/>
  <c r="AI72" i="51"/>
  <c r="AG89" i="51"/>
  <c r="R89" i="51"/>
  <c r="R91" i="51" s="1"/>
  <c r="Z89" i="51"/>
  <c r="Z91" i="51" s="1"/>
  <c r="AR249" i="51" s="1"/>
  <c r="S89" i="51"/>
  <c r="S91" i="51" s="1"/>
  <c r="AA89" i="51"/>
  <c r="AA91" i="51" s="1"/>
  <c r="AS249" i="51" s="1"/>
  <c r="Q100" i="51"/>
  <c r="Y100" i="51"/>
  <c r="P100" i="51"/>
  <c r="L5" i="51"/>
  <c r="M89" i="51"/>
  <c r="M91" i="51" s="1"/>
  <c r="AE249" i="51" s="1"/>
  <c r="J100" i="51"/>
  <c r="J89" i="51"/>
  <c r="J91" i="51" s="1"/>
  <c r="H89" i="51"/>
  <c r="H91" i="51" s="1"/>
  <c r="Z249" i="51" s="1"/>
  <c r="I100" i="51"/>
  <c r="H100" i="51"/>
  <c r="J5" i="51"/>
  <c r="L100" i="51"/>
  <c r="K5" i="51"/>
  <c r="L89" i="51"/>
  <c r="L91" i="51" s="1"/>
  <c r="AH68" i="51"/>
  <c r="E5" i="51"/>
  <c r="F89" i="51"/>
  <c r="F91" i="51" s="1"/>
  <c r="E100" i="51"/>
  <c r="D5" i="51"/>
  <c r="E89" i="51"/>
  <c r="E91" i="51" s="1"/>
  <c r="AI99" i="51"/>
  <c r="D89" i="51"/>
  <c r="D91" i="51" s="1"/>
  <c r="D7" i="51" s="1"/>
  <c r="C5" i="51"/>
  <c r="AH54" i="51"/>
  <c r="AI54" i="51"/>
  <c r="AI84" i="51"/>
  <c r="B89" i="51"/>
  <c r="B91" i="51" s="1"/>
  <c r="AF5" i="51"/>
  <c r="AI50" i="51"/>
  <c r="AI68" i="51"/>
  <c r="S246" i="51"/>
  <c r="I7" i="51"/>
  <c r="AA249" i="51"/>
  <c r="AB249" i="51"/>
  <c r="K7" i="51"/>
  <c r="AC249" i="51"/>
  <c r="F7" i="51"/>
  <c r="E270" i="51"/>
  <c r="G234" i="51"/>
  <c r="Y249" i="51"/>
  <c r="G7" i="51"/>
  <c r="O7" i="51"/>
  <c r="J232" i="51"/>
  <c r="K232" i="51" s="1"/>
  <c r="L232" i="51" s="1"/>
  <c r="M232" i="51" s="1"/>
  <c r="N232" i="51" s="1"/>
  <c r="O232" i="51" s="1"/>
  <c r="P232" i="51" s="1"/>
  <c r="H7" i="51"/>
  <c r="AH249" i="51"/>
  <c r="X7" i="51"/>
  <c r="AP249" i="51"/>
  <c r="AF7" i="51"/>
  <c r="AX249" i="51"/>
  <c r="AG91" i="51"/>
  <c r="AG3" i="51"/>
  <c r="AG6" i="51" s="1"/>
  <c r="AH50" i="51"/>
  <c r="C89" i="51"/>
  <c r="C91" i="51" s="1"/>
  <c r="G100" i="51"/>
  <c r="O100" i="51"/>
  <c r="W100" i="51"/>
  <c r="AE100" i="51"/>
  <c r="D110" i="51"/>
  <c r="B100" i="51"/>
  <c r="E229" i="51"/>
  <c r="D270" i="51"/>
  <c r="AH72" i="51"/>
  <c r="AH84" i="51"/>
  <c r="AH99" i="51"/>
  <c r="B235" i="51"/>
  <c r="AV249" i="51" l="1"/>
  <c r="AB7" i="51"/>
  <c r="AE7" i="51"/>
  <c r="AW249" i="51"/>
  <c r="AT249" i="51"/>
  <c r="AC7" i="51"/>
  <c r="AC92" i="51"/>
  <c r="AD7" i="51"/>
  <c r="AU249" i="51"/>
  <c r="Z7" i="51"/>
  <c r="AQ249" i="51"/>
  <c r="AA7" i="51"/>
  <c r="V7" i="51"/>
  <c r="AN249" i="51"/>
  <c r="U7" i="51"/>
  <c r="AL249" i="51"/>
  <c r="W7" i="51"/>
  <c r="AK249" i="51"/>
  <c r="S7" i="51"/>
  <c r="AJ249" i="51"/>
  <c r="R7" i="51"/>
  <c r="AI249" i="51"/>
  <c r="Q7" i="51"/>
  <c r="N7" i="51"/>
  <c r="E7" i="51"/>
  <c r="X249" i="51"/>
  <c r="M7" i="51"/>
  <c r="J7" i="51"/>
  <c r="C244" i="51"/>
  <c r="B244" i="51"/>
  <c r="AD249" i="51"/>
  <c r="W249" i="51"/>
  <c r="L7" i="51"/>
  <c r="V249" i="51"/>
  <c r="AH89" i="51"/>
  <c r="T249" i="51"/>
  <c r="AI91" i="51"/>
  <c r="AH91" i="51"/>
  <c r="B7" i="51"/>
  <c r="C7" i="51"/>
  <c r="U249" i="51"/>
  <c r="E110" i="51"/>
  <c r="F229" i="51"/>
  <c r="E235" i="51"/>
  <c r="AH100" i="51"/>
  <c r="AI100" i="51"/>
  <c r="F270" i="51"/>
  <c r="H234" i="51"/>
  <c r="AI89" i="51"/>
  <c r="K6" i="51" l="1"/>
  <c r="AI92" i="51"/>
  <c r="AH92" i="51"/>
  <c r="G270" i="51"/>
  <c r="I234" i="51"/>
  <c r="A7" i="51"/>
  <c r="F110" i="51"/>
  <c r="G229" i="51"/>
  <c r="F235" i="51"/>
  <c r="G235" i="51" l="1"/>
  <c r="H229" i="51"/>
  <c r="G110" i="51"/>
  <c r="H270" i="51"/>
  <c r="J234" i="51"/>
  <c r="I229" i="51" l="1"/>
  <c r="H110" i="51"/>
  <c r="H235" i="51"/>
  <c r="K234" i="51"/>
  <c r="I270" i="51"/>
  <c r="I110" i="51" l="1"/>
  <c r="J229" i="51"/>
  <c r="J270" i="51"/>
  <c r="L234" i="51"/>
  <c r="K270" i="51" l="1"/>
  <c r="M234" i="51"/>
  <c r="K229" i="51"/>
  <c r="J110" i="51"/>
  <c r="K110" i="51" l="1"/>
  <c r="L229" i="51"/>
  <c r="N234" i="51"/>
  <c r="L270" i="51"/>
  <c r="M270" i="51" l="1"/>
  <c r="O234" i="51"/>
  <c r="M229" i="51"/>
  <c r="L110" i="51"/>
  <c r="N229" i="51" l="1"/>
  <c r="M110" i="51"/>
  <c r="N270" i="51"/>
  <c r="P234" i="51"/>
  <c r="O270" i="51" s="1"/>
  <c r="N110" i="51" l="1"/>
  <c r="O229" i="51"/>
  <c r="P229" i="51" l="1"/>
  <c r="O110" i="51"/>
  <c r="AI110" i="51" l="1"/>
  <c r="AH110" i="51"/>
  <c r="X113" i="50" l="1"/>
  <c r="X49" i="50"/>
  <c r="X50" i="50"/>
  <c r="X54" i="50"/>
  <c r="X68" i="50"/>
  <c r="X72" i="50"/>
  <c r="X84" i="50"/>
  <c r="X100" i="50" s="1"/>
  <c r="X99" i="50"/>
  <c r="W113" i="50"/>
  <c r="W49" i="50"/>
  <c r="S113" i="50"/>
  <c r="S49" i="50"/>
  <c r="R113" i="50"/>
  <c r="R49" i="50"/>
  <c r="X89" i="50" l="1"/>
  <c r="X91" i="50" s="1"/>
  <c r="X92" i="50" s="1"/>
  <c r="Q113" i="50"/>
  <c r="Q49" i="50"/>
  <c r="P113" i="50"/>
  <c r="P49" i="50"/>
  <c r="O113" i="50"/>
  <c r="O49" i="50"/>
  <c r="N113" i="50"/>
  <c r="N49" i="50"/>
  <c r="M113" i="50" l="1"/>
  <c r="M49" i="50"/>
  <c r="AF274" i="50"/>
  <c r="AE274" i="50"/>
  <c r="AD274" i="50"/>
  <c r="AC274" i="50"/>
  <c r="AB274" i="50"/>
  <c r="AA274" i="50"/>
  <c r="Z274" i="50"/>
  <c r="Y274" i="50"/>
  <c r="X274" i="50"/>
  <c r="W274" i="50"/>
  <c r="V274" i="50"/>
  <c r="U274" i="50"/>
  <c r="T274" i="50"/>
  <c r="S274" i="50"/>
  <c r="R274" i="50"/>
  <c r="Q274" i="50"/>
  <c r="P274" i="50"/>
  <c r="O274" i="50"/>
  <c r="N274" i="50"/>
  <c r="M274" i="50"/>
  <c r="L274" i="50"/>
  <c r="K274" i="50"/>
  <c r="J274" i="50"/>
  <c r="I274" i="50"/>
  <c r="H274" i="50"/>
  <c r="G274" i="50"/>
  <c r="F274" i="50"/>
  <c r="E274" i="50"/>
  <c r="D274" i="50"/>
  <c r="C274" i="50"/>
  <c r="B274" i="50"/>
  <c r="A274" i="50"/>
  <c r="AF273" i="50"/>
  <c r="AE273" i="50"/>
  <c r="AD273" i="50"/>
  <c r="AC273" i="50"/>
  <c r="AB273" i="50"/>
  <c r="AA273" i="50"/>
  <c r="Z273" i="50"/>
  <c r="Y273" i="50"/>
  <c r="X273" i="50"/>
  <c r="W273" i="50"/>
  <c r="V273" i="50"/>
  <c r="U273" i="50"/>
  <c r="T273" i="50"/>
  <c r="S273" i="50"/>
  <c r="R273" i="50"/>
  <c r="Q273" i="50"/>
  <c r="P273" i="50"/>
  <c r="O273" i="50"/>
  <c r="N273" i="50"/>
  <c r="M273" i="50"/>
  <c r="L273" i="50"/>
  <c r="K273" i="50"/>
  <c r="J273" i="50"/>
  <c r="I273" i="50"/>
  <c r="H273" i="50"/>
  <c r="G273" i="50"/>
  <c r="F273" i="50"/>
  <c r="E273" i="50"/>
  <c r="D273" i="50"/>
  <c r="C273" i="50"/>
  <c r="B273" i="50"/>
  <c r="A273" i="50"/>
  <c r="AF272" i="50"/>
  <c r="AE272" i="50"/>
  <c r="AD272" i="50"/>
  <c r="AC272" i="50"/>
  <c r="AB272" i="50"/>
  <c r="AA272" i="50"/>
  <c r="Z272" i="50"/>
  <c r="Y272" i="50"/>
  <c r="X272" i="50"/>
  <c r="W272" i="50"/>
  <c r="V272" i="50"/>
  <c r="U272" i="50"/>
  <c r="T272" i="50"/>
  <c r="S272" i="50"/>
  <c r="R272" i="50"/>
  <c r="Q272" i="50"/>
  <c r="P272" i="50"/>
  <c r="O272" i="50"/>
  <c r="N272" i="50"/>
  <c r="M272" i="50"/>
  <c r="L272" i="50"/>
  <c r="K272" i="50"/>
  <c r="J272" i="50"/>
  <c r="I272" i="50"/>
  <c r="H272" i="50"/>
  <c r="G272" i="50"/>
  <c r="F272" i="50"/>
  <c r="E272" i="50"/>
  <c r="D272" i="50"/>
  <c r="C272" i="50"/>
  <c r="B272" i="50"/>
  <c r="A272" i="50"/>
  <c r="AF271" i="50"/>
  <c r="AE271" i="50"/>
  <c r="AD271" i="50"/>
  <c r="AC271" i="50"/>
  <c r="AB271" i="50"/>
  <c r="AA271" i="50"/>
  <c r="Z271" i="50"/>
  <c r="Y271" i="50"/>
  <c r="X271" i="50"/>
  <c r="W271" i="50"/>
  <c r="V271" i="50"/>
  <c r="U271" i="50"/>
  <c r="T271" i="50"/>
  <c r="S271" i="50"/>
  <c r="R271" i="50"/>
  <c r="Q271" i="50"/>
  <c r="P271" i="50"/>
  <c r="O271" i="50"/>
  <c r="N271" i="50"/>
  <c r="M271" i="50"/>
  <c r="L271" i="50"/>
  <c r="K271" i="50"/>
  <c r="J271" i="50"/>
  <c r="I271" i="50"/>
  <c r="H271" i="50"/>
  <c r="G271" i="50"/>
  <c r="F271" i="50"/>
  <c r="E271" i="50"/>
  <c r="D271" i="50"/>
  <c r="C271" i="50"/>
  <c r="B271" i="50"/>
  <c r="A271" i="50"/>
  <c r="AE270" i="50"/>
  <c r="AD270" i="50"/>
  <c r="AC270" i="50"/>
  <c r="AB270" i="50"/>
  <c r="AA270" i="50"/>
  <c r="Z270" i="50"/>
  <c r="Y270" i="50"/>
  <c r="X270" i="50"/>
  <c r="W270" i="50"/>
  <c r="V270" i="50"/>
  <c r="U270" i="50"/>
  <c r="T270" i="50"/>
  <c r="S270" i="50"/>
  <c r="R270" i="50"/>
  <c r="Q270" i="50"/>
  <c r="P270" i="50"/>
  <c r="B270" i="50"/>
  <c r="S245" i="50"/>
  <c r="AG235" i="50"/>
  <c r="AF235" i="50"/>
  <c r="AE235" i="50"/>
  <c r="AD235" i="50"/>
  <c r="AC235" i="50"/>
  <c r="AB235" i="50"/>
  <c r="AA235" i="50"/>
  <c r="Z235" i="50"/>
  <c r="Y235" i="50"/>
  <c r="X235" i="50"/>
  <c r="W235" i="50"/>
  <c r="V235" i="50"/>
  <c r="U235" i="50"/>
  <c r="T235" i="50"/>
  <c r="S235" i="50"/>
  <c r="R235" i="50"/>
  <c r="Q235" i="50"/>
  <c r="C235" i="50"/>
  <c r="D234" i="50"/>
  <c r="C270" i="50" s="1"/>
  <c r="B234" i="50"/>
  <c r="AF270" i="50" s="1"/>
  <c r="D233" i="50"/>
  <c r="E233" i="50" s="1"/>
  <c r="F233" i="50" s="1"/>
  <c r="G233" i="50" s="1"/>
  <c r="H233" i="50" s="1"/>
  <c r="I233" i="50" s="1"/>
  <c r="J233" i="50" s="1"/>
  <c r="K233" i="50" s="1"/>
  <c r="L233" i="50" s="1"/>
  <c r="M233" i="50" s="1"/>
  <c r="N233" i="50" s="1"/>
  <c r="O233" i="50" s="1"/>
  <c r="P233" i="50" s="1"/>
  <c r="B233" i="50"/>
  <c r="D232" i="50"/>
  <c r="E232" i="50" s="1"/>
  <c r="F232" i="50" s="1"/>
  <c r="G232" i="50" s="1"/>
  <c r="H232" i="50" s="1"/>
  <c r="I232" i="50" s="1"/>
  <c r="B232" i="50"/>
  <c r="F231" i="50"/>
  <c r="G231" i="50" s="1"/>
  <c r="H231" i="50" s="1"/>
  <c r="E231" i="50"/>
  <c r="D231" i="50"/>
  <c r="B231" i="50"/>
  <c r="D230" i="50"/>
  <c r="D235" i="50" s="1"/>
  <c r="B230" i="50"/>
  <c r="D229" i="50"/>
  <c r="E229" i="50" s="1"/>
  <c r="B229" i="50"/>
  <c r="B235" i="50" s="1"/>
  <c r="AG227" i="50"/>
  <c r="AF227" i="50"/>
  <c r="AE227" i="50"/>
  <c r="AD227" i="50"/>
  <c r="AC227" i="50"/>
  <c r="AB227" i="50"/>
  <c r="AA227" i="50"/>
  <c r="Z227" i="50"/>
  <c r="Y227" i="50"/>
  <c r="X227" i="50"/>
  <c r="W227" i="50"/>
  <c r="V227" i="50"/>
  <c r="U227" i="50"/>
  <c r="T227" i="50"/>
  <c r="S227" i="50"/>
  <c r="R227" i="50"/>
  <c r="Q227" i="50"/>
  <c r="P227" i="50"/>
  <c r="O227" i="50"/>
  <c r="N227" i="50"/>
  <c r="M227" i="50"/>
  <c r="L227" i="50"/>
  <c r="K227" i="50"/>
  <c r="J227" i="50"/>
  <c r="I227" i="50"/>
  <c r="H227" i="50"/>
  <c r="G227" i="50"/>
  <c r="F227" i="50"/>
  <c r="E227" i="50"/>
  <c r="D227" i="50"/>
  <c r="C227" i="50"/>
  <c r="B227" i="50"/>
  <c r="AI120" i="50"/>
  <c r="AH120" i="50"/>
  <c r="AI119" i="50"/>
  <c r="AH119" i="50"/>
  <c r="AI118" i="50"/>
  <c r="AH118" i="50"/>
  <c r="AI117" i="50"/>
  <c r="AH117" i="50"/>
  <c r="AI116" i="50"/>
  <c r="AH116" i="50"/>
  <c r="AI115" i="50"/>
  <c r="AH115" i="50"/>
  <c r="AI114" i="50"/>
  <c r="AH114" i="50"/>
  <c r="AI113" i="50"/>
  <c r="AH113" i="50"/>
  <c r="AI112" i="50"/>
  <c r="AH112" i="50"/>
  <c r="AI111" i="50"/>
  <c r="AH111" i="50"/>
  <c r="AF110" i="50"/>
  <c r="AE110" i="50"/>
  <c r="AC110" i="50"/>
  <c r="AB110" i="50"/>
  <c r="AA110" i="50"/>
  <c r="Z110" i="50"/>
  <c r="Y110" i="50"/>
  <c r="X110" i="50"/>
  <c r="W110" i="50"/>
  <c r="V110" i="50"/>
  <c r="U110" i="50"/>
  <c r="T110" i="50"/>
  <c r="S110" i="50"/>
  <c r="R110" i="50"/>
  <c r="Q110" i="50"/>
  <c r="D110" i="50"/>
  <c r="C110" i="50"/>
  <c r="AI109" i="50"/>
  <c r="AH109" i="50"/>
  <c r="AI108" i="50"/>
  <c r="AH108" i="50"/>
  <c r="AI107" i="50"/>
  <c r="AH107" i="50"/>
  <c r="AI106" i="50"/>
  <c r="AH106" i="50"/>
  <c r="AI105" i="50"/>
  <c r="AH105" i="50"/>
  <c r="AI104" i="50"/>
  <c r="AH104" i="50"/>
  <c r="AI103" i="50"/>
  <c r="AH103" i="50"/>
  <c r="AI102" i="50"/>
  <c r="AH102" i="50"/>
  <c r="AI101" i="50"/>
  <c r="AH101" i="50"/>
  <c r="AF99" i="50"/>
  <c r="AE99" i="50"/>
  <c r="AD99" i="50"/>
  <c r="AC99" i="50"/>
  <c r="AB99" i="50"/>
  <c r="AA99" i="50"/>
  <c r="Z99" i="50"/>
  <c r="Y99" i="50"/>
  <c r="W99" i="50"/>
  <c r="V99" i="50"/>
  <c r="U99" i="50"/>
  <c r="T99" i="50"/>
  <c r="S99" i="50"/>
  <c r="R99" i="50"/>
  <c r="Q99" i="50"/>
  <c r="P99" i="50"/>
  <c r="O99" i="50"/>
  <c r="N99" i="50"/>
  <c r="M99" i="50"/>
  <c r="L99" i="50"/>
  <c r="K99" i="50"/>
  <c r="J99" i="50"/>
  <c r="I99" i="50"/>
  <c r="H99" i="50"/>
  <c r="G99" i="50"/>
  <c r="F99" i="50"/>
  <c r="E99" i="50"/>
  <c r="D99" i="50"/>
  <c r="C99" i="50"/>
  <c r="B99" i="50"/>
  <c r="AI98" i="50"/>
  <c r="AH98" i="50"/>
  <c r="AI97" i="50"/>
  <c r="AH97" i="50"/>
  <c r="AI96" i="50"/>
  <c r="AH96" i="50"/>
  <c r="AI95" i="50"/>
  <c r="AH95" i="50"/>
  <c r="AI94" i="50"/>
  <c r="AH94" i="50"/>
  <c r="AI93" i="50"/>
  <c r="AH93" i="50"/>
  <c r="AI90" i="50"/>
  <c r="AH90" i="50"/>
  <c r="AI88" i="50"/>
  <c r="AH88" i="50"/>
  <c r="AG88" i="50"/>
  <c r="AG91" i="50" s="1"/>
  <c r="AI87" i="50"/>
  <c r="AH87" i="50"/>
  <c r="AI86" i="50"/>
  <c r="AH86" i="50"/>
  <c r="AI85" i="50"/>
  <c r="AH85" i="50"/>
  <c r="AG84" i="50"/>
  <c r="AF84" i="50"/>
  <c r="AF100" i="50" s="1"/>
  <c r="AE84" i="50"/>
  <c r="AE100" i="50" s="1"/>
  <c r="AD84" i="50"/>
  <c r="AD100" i="50" s="1"/>
  <c r="AC84" i="50"/>
  <c r="AC100" i="50" s="1"/>
  <c r="AB84" i="50"/>
  <c r="AB100" i="50" s="1"/>
  <c r="AA84" i="50"/>
  <c r="AA89" i="50" s="1"/>
  <c r="AA91" i="50" s="1"/>
  <c r="Z84" i="50"/>
  <c r="Z100" i="50" s="1"/>
  <c r="Y84" i="50"/>
  <c r="Y100" i="50" s="1"/>
  <c r="W84" i="50"/>
  <c r="V5" i="50" s="1"/>
  <c r="V84" i="50"/>
  <c r="V100" i="50" s="1"/>
  <c r="U84" i="50"/>
  <c r="U100" i="50" s="1"/>
  <c r="T84" i="50"/>
  <c r="T100" i="50" s="1"/>
  <c r="S84" i="50"/>
  <c r="S100" i="50" s="1"/>
  <c r="R84" i="50"/>
  <c r="R100" i="50" s="1"/>
  <c r="Q84" i="50"/>
  <c r="Q100" i="50" s="1"/>
  <c r="P84" i="50"/>
  <c r="P100" i="50" s="1"/>
  <c r="O84" i="50"/>
  <c r="O100" i="50" s="1"/>
  <c r="N84" i="50"/>
  <c r="N100" i="50" s="1"/>
  <c r="M84" i="50"/>
  <c r="M100" i="50" s="1"/>
  <c r="L84" i="50"/>
  <c r="L100" i="50" s="1"/>
  <c r="K84" i="50"/>
  <c r="K100" i="50" s="1"/>
  <c r="J84" i="50"/>
  <c r="J100" i="50" s="1"/>
  <c r="I84" i="50"/>
  <c r="I100" i="50" s="1"/>
  <c r="H84" i="50"/>
  <c r="H100" i="50" s="1"/>
  <c r="G84" i="50"/>
  <c r="F5" i="50" s="1"/>
  <c r="F84" i="50"/>
  <c r="F100" i="50" s="1"/>
  <c r="E84" i="50"/>
  <c r="E100" i="50" s="1"/>
  <c r="D84" i="50"/>
  <c r="D100" i="50" s="1"/>
  <c r="C84" i="50"/>
  <c r="C100" i="50" s="1"/>
  <c r="B84" i="50"/>
  <c r="AF5" i="50" s="1"/>
  <c r="AI83" i="50"/>
  <c r="AH83" i="50"/>
  <c r="AI82" i="50"/>
  <c r="AH82" i="50"/>
  <c r="AI81" i="50"/>
  <c r="AH81" i="50"/>
  <c r="AI80" i="50"/>
  <c r="AH80" i="50"/>
  <c r="AI79" i="50"/>
  <c r="AH79" i="50"/>
  <c r="AI78" i="50"/>
  <c r="AH78" i="50"/>
  <c r="AI77" i="50"/>
  <c r="AH77" i="50"/>
  <c r="AI76" i="50"/>
  <c r="AH76" i="50"/>
  <c r="AI75" i="50"/>
  <c r="AH75" i="50"/>
  <c r="AI74" i="50"/>
  <c r="AH74" i="50"/>
  <c r="AI73" i="50"/>
  <c r="AH73" i="50"/>
  <c r="AG72" i="50"/>
  <c r="AF72" i="50"/>
  <c r="AE72" i="50"/>
  <c r="AD72" i="50"/>
  <c r="AC72" i="50"/>
  <c r="AB72" i="50"/>
  <c r="Y72" i="50"/>
  <c r="W72" i="50"/>
  <c r="V72" i="50"/>
  <c r="U72" i="50"/>
  <c r="T72" i="50"/>
  <c r="S72" i="50"/>
  <c r="R72" i="50"/>
  <c r="Q72" i="50"/>
  <c r="P72" i="50"/>
  <c r="O72" i="50"/>
  <c r="N72" i="50"/>
  <c r="M72" i="50"/>
  <c r="L72" i="50"/>
  <c r="B72" i="50"/>
  <c r="AI71" i="50"/>
  <c r="AH71" i="50"/>
  <c r="AI70" i="50"/>
  <c r="AH70" i="50"/>
  <c r="AI69" i="50"/>
  <c r="AH69" i="50"/>
  <c r="AG68" i="50"/>
  <c r="AG3" i="50" s="1"/>
  <c r="AF68" i="50"/>
  <c r="AE68" i="50"/>
  <c r="AD68" i="50"/>
  <c r="AC68" i="50"/>
  <c r="AB68" i="50"/>
  <c r="W68" i="50"/>
  <c r="V68" i="50"/>
  <c r="U68" i="50"/>
  <c r="T68" i="50"/>
  <c r="S68" i="50"/>
  <c r="R68" i="50"/>
  <c r="Q68" i="50"/>
  <c r="P68" i="50"/>
  <c r="O68" i="50"/>
  <c r="N68" i="50"/>
  <c r="M68" i="50"/>
  <c r="L68" i="50"/>
  <c r="K68" i="50"/>
  <c r="J68" i="50"/>
  <c r="I68" i="50"/>
  <c r="H68" i="50"/>
  <c r="G68" i="50"/>
  <c r="F68" i="50"/>
  <c r="E68" i="50"/>
  <c r="D68" i="50"/>
  <c r="C68" i="50"/>
  <c r="B68" i="50"/>
  <c r="AI67" i="50"/>
  <c r="AH67" i="50"/>
  <c r="AG67" i="50"/>
  <c r="AI66" i="50"/>
  <c r="AH66" i="50"/>
  <c r="AI65" i="50"/>
  <c r="AH65" i="50"/>
  <c r="AI64" i="50"/>
  <c r="AH64" i="50"/>
  <c r="AI63" i="50"/>
  <c r="AH63" i="50"/>
  <c r="AI62" i="50"/>
  <c r="AH62" i="50"/>
  <c r="AI61" i="50"/>
  <c r="AH61" i="50"/>
  <c r="AI60" i="50"/>
  <c r="AH60" i="50"/>
  <c r="AI59" i="50"/>
  <c r="AH59" i="50"/>
  <c r="AI58" i="50"/>
  <c r="AH58" i="50"/>
  <c r="AI57" i="50"/>
  <c r="AH57" i="50"/>
  <c r="AI56" i="50"/>
  <c r="AH56" i="50"/>
  <c r="AI55" i="50"/>
  <c r="AH55" i="50"/>
  <c r="AG54" i="50"/>
  <c r="AF54" i="50"/>
  <c r="AE54" i="50"/>
  <c r="AD54" i="50"/>
  <c r="AC54" i="50"/>
  <c r="AB54" i="50"/>
  <c r="W54" i="50"/>
  <c r="V54" i="50"/>
  <c r="U54" i="50"/>
  <c r="T54" i="50"/>
  <c r="S54" i="50"/>
  <c r="R54" i="50"/>
  <c r="Q54" i="50"/>
  <c r="P54" i="50"/>
  <c r="O54" i="50"/>
  <c r="N54" i="50"/>
  <c r="M54" i="50"/>
  <c r="L54" i="50"/>
  <c r="K54" i="50"/>
  <c r="J54" i="50"/>
  <c r="I54" i="50"/>
  <c r="H54" i="50"/>
  <c r="G54" i="50"/>
  <c r="F54" i="50"/>
  <c r="E54" i="50"/>
  <c r="D54" i="50"/>
  <c r="C54" i="50"/>
  <c r="B54" i="50"/>
  <c r="AI53" i="50"/>
  <c r="AH53" i="50"/>
  <c r="AI52" i="50"/>
  <c r="AH52" i="50"/>
  <c r="AI51" i="50"/>
  <c r="AH51" i="50"/>
  <c r="AG50" i="50"/>
  <c r="AG89" i="50" s="1"/>
  <c r="AF50" i="50"/>
  <c r="AE50" i="50"/>
  <c r="AD50" i="50"/>
  <c r="AC50" i="50"/>
  <c r="AB50" i="50"/>
  <c r="W50" i="50"/>
  <c r="V50" i="50"/>
  <c r="U50" i="50"/>
  <c r="T50" i="50"/>
  <c r="S50" i="50"/>
  <c r="R50" i="50"/>
  <c r="Q50" i="50"/>
  <c r="P50" i="50"/>
  <c r="O50" i="50"/>
  <c r="N50" i="50"/>
  <c r="M50" i="50"/>
  <c r="L50" i="50"/>
  <c r="K50" i="50"/>
  <c r="J50" i="50"/>
  <c r="I50" i="50"/>
  <c r="H50" i="50"/>
  <c r="G50" i="50"/>
  <c r="F50" i="50"/>
  <c r="E50" i="50"/>
  <c r="D50" i="50"/>
  <c r="C50" i="50"/>
  <c r="B50" i="50"/>
  <c r="AI49" i="50"/>
  <c r="AH49" i="50"/>
  <c r="AI48" i="50"/>
  <c r="AH48" i="50"/>
  <c r="AI47" i="50"/>
  <c r="AH47" i="50"/>
  <c r="AI46" i="50"/>
  <c r="AH46" i="50"/>
  <c r="AI45" i="50"/>
  <c r="AH45" i="50"/>
  <c r="AI44" i="50"/>
  <c r="AH44" i="50"/>
  <c r="AI43" i="50"/>
  <c r="AH43" i="50"/>
  <c r="AI42" i="50"/>
  <c r="AH42" i="50"/>
  <c r="AI41" i="50"/>
  <c r="AH41" i="50"/>
  <c r="AI40" i="50"/>
  <c r="AH40" i="50"/>
  <c r="AI39" i="50"/>
  <c r="AH39" i="50"/>
  <c r="AI38" i="50"/>
  <c r="AH38" i="50"/>
  <c r="AI37" i="50"/>
  <c r="AH37" i="50"/>
  <c r="AI36" i="50"/>
  <c r="AH36" i="50"/>
  <c r="AI35" i="50"/>
  <c r="AH35" i="50"/>
  <c r="AI34" i="50"/>
  <c r="AH34" i="50"/>
  <c r="AI33" i="50"/>
  <c r="AH33" i="50"/>
  <c r="AI32" i="50"/>
  <c r="AH32" i="50"/>
  <c r="AI31" i="50"/>
  <c r="AH31" i="50"/>
  <c r="AI30" i="50"/>
  <c r="AH30" i="50"/>
  <c r="AI29" i="50"/>
  <c r="AH29" i="50"/>
  <c r="AI28" i="50"/>
  <c r="AH28" i="50"/>
  <c r="AI27" i="50"/>
  <c r="AH27" i="50"/>
  <c r="AI26" i="50"/>
  <c r="AH26" i="50"/>
  <c r="AI25" i="50"/>
  <c r="AH25" i="50"/>
  <c r="AI24" i="50"/>
  <c r="AH24" i="50"/>
  <c r="AI23" i="50"/>
  <c r="AH23" i="50"/>
  <c r="AI22" i="50"/>
  <c r="AH22" i="50"/>
  <c r="AI21" i="50"/>
  <c r="AH21" i="50"/>
  <c r="AI20" i="50"/>
  <c r="AH20" i="50"/>
  <c r="AI19" i="50"/>
  <c r="AH19" i="50"/>
  <c r="AI18" i="50"/>
  <c r="AH18" i="50"/>
  <c r="AI17" i="50"/>
  <c r="AH17" i="50"/>
  <c r="AI16" i="50"/>
  <c r="AH16" i="50"/>
  <c r="AI15" i="50"/>
  <c r="AH15" i="50"/>
  <c r="AI14" i="50"/>
  <c r="AH14" i="50"/>
  <c r="AI13" i="50"/>
  <c r="AH13" i="50"/>
  <c r="AI12" i="50"/>
  <c r="AH12" i="50"/>
  <c r="AI11" i="50"/>
  <c r="AH11" i="50"/>
  <c r="Z5" i="50"/>
  <c r="W5" i="50"/>
  <c r="AG4" i="50"/>
  <c r="K4" i="50"/>
  <c r="E4" i="50"/>
  <c r="H4" i="50" s="1"/>
  <c r="B4" i="50"/>
  <c r="S246" i="50" s="1"/>
  <c r="AF49" i="49"/>
  <c r="AE49" i="49"/>
  <c r="AD49" i="49"/>
  <c r="AC49" i="49"/>
  <c r="AB49" i="49"/>
  <c r="AE5" i="50" l="1"/>
  <c r="AF89" i="50"/>
  <c r="AF91" i="50" s="1"/>
  <c r="AX249" i="50" s="1"/>
  <c r="AD5" i="50"/>
  <c r="AE89" i="50"/>
  <c r="AE91" i="50" s="1"/>
  <c r="AW249" i="50" s="1"/>
  <c r="AD89" i="50"/>
  <c r="AD91" i="50" s="1"/>
  <c r="AD7" i="50" s="1"/>
  <c r="AC89" i="50"/>
  <c r="AC91" i="50" s="1"/>
  <c r="AA5" i="50"/>
  <c r="AI72" i="50"/>
  <c r="AB89" i="50"/>
  <c r="AB91" i="50" s="1"/>
  <c r="AT249" i="50" s="1"/>
  <c r="AA100" i="50"/>
  <c r="Z89" i="50"/>
  <c r="Z91" i="50" s="1"/>
  <c r="Y5" i="50"/>
  <c r="Y89" i="50"/>
  <c r="Y91" i="50" s="1"/>
  <c r="X5" i="50"/>
  <c r="W100" i="50"/>
  <c r="W89" i="50"/>
  <c r="W91" i="50" s="1"/>
  <c r="AO249" i="50" s="1"/>
  <c r="V89" i="50"/>
  <c r="V91" i="50" s="1"/>
  <c r="V92" i="50" s="1"/>
  <c r="U89" i="50"/>
  <c r="U91" i="50" s="1"/>
  <c r="AM249" i="50" s="1"/>
  <c r="S5" i="50"/>
  <c r="T89" i="50"/>
  <c r="T91" i="50" s="1"/>
  <c r="T92" i="50" s="1"/>
  <c r="R5" i="50"/>
  <c r="S89" i="50"/>
  <c r="S91" i="50" s="1"/>
  <c r="S7" i="50" s="1"/>
  <c r="Q5" i="50"/>
  <c r="R89" i="50"/>
  <c r="R91" i="50" s="1"/>
  <c r="R92" i="50" s="1"/>
  <c r="P5" i="50"/>
  <c r="Q89" i="50"/>
  <c r="Q91" i="50" s="1"/>
  <c r="AI249" i="50" s="1"/>
  <c r="O5" i="50"/>
  <c r="P89" i="50"/>
  <c r="P91" i="50" s="1"/>
  <c r="P92" i="50" s="1"/>
  <c r="N5" i="50"/>
  <c r="O89" i="50"/>
  <c r="O91" i="50" s="1"/>
  <c r="AG249" i="50" s="1"/>
  <c r="N89" i="50"/>
  <c r="N91" i="50" s="1"/>
  <c r="N7" i="50" s="1"/>
  <c r="M89" i="50"/>
  <c r="M91" i="50" s="1"/>
  <c r="M7" i="50" s="1"/>
  <c r="K5" i="50"/>
  <c r="J5" i="50"/>
  <c r="K89" i="50"/>
  <c r="K91" i="50" s="1"/>
  <c r="K92" i="50" s="1"/>
  <c r="I5" i="50"/>
  <c r="J89" i="50"/>
  <c r="J91" i="50" s="1"/>
  <c r="AB249" i="50" s="1"/>
  <c r="H5" i="50"/>
  <c r="G5" i="50"/>
  <c r="H89" i="50"/>
  <c r="H91" i="50" s="1"/>
  <c r="H92" i="50" s="1"/>
  <c r="G100" i="50"/>
  <c r="F89" i="50"/>
  <c r="F91" i="50" s="1"/>
  <c r="F92" i="50" s="1"/>
  <c r="AH54" i="50"/>
  <c r="G89" i="50"/>
  <c r="G91" i="50" s="1"/>
  <c r="G92" i="50" s="1"/>
  <c r="E89" i="50"/>
  <c r="E91" i="50" s="1"/>
  <c r="E92" i="50" s="1"/>
  <c r="AH72" i="50"/>
  <c r="I89" i="50"/>
  <c r="I91" i="50" s="1"/>
  <c r="I92" i="50" s="1"/>
  <c r="L89" i="50"/>
  <c r="L91" i="50" s="1"/>
  <c r="L7" i="50" s="1"/>
  <c r="AI68" i="50"/>
  <c r="AI99" i="50"/>
  <c r="C5" i="50"/>
  <c r="D89" i="50"/>
  <c r="D91" i="50" s="1"/>
  <c r="D92" i="50" s="1"/>
  <c r="B5" i="50"/>
  <c r="C89" i="50"/>
  <c r="C91" i="50" s="1"/>
  <c r="C92" i="50" s="1"/>
  <c r="B89" i="50"/>
  <c r="Y92" i="50"/>
  <c r="Y7" i="50"/>
  <c r="AQ249" i="50"/>
  <c r="Z92" i="50"/>
  <c r="Z7" i="50"/>
  <c r="AR249" i="50"/>
  <c r="AB92" i="50"/>
  <c r="AE249" i="50"/>
  <c r="AC7" i="50"/>
  <c r="AU249" i="50"/>
  <c r="AC92" i="50"/>
  <c r="AA92" i="50"/>
  <c r="AA7" i="50"/>
  <c r="AS249" i="50"/>
  <c r="S92" i="50"/>
  <c r="AK249" i="50"/>
  <c r="X7" i="50"/>
  <c r="AP249" i="50"/>
  <c r="AF92" i="50"/>
  <c r="F229" i="50"/>
  <c r="J232" i="50"/>
  <c r="K232" i="50" s="1"/>
  <c r="L232" i="50" s="1"/>
  <c r="M232" i="50" s="1"/>
  <c r="N232" i="50" s="1"/>
  <c r="O232" i="50" s="1"/>
  <c r="P232" i="50" s="1"/>
  <c r="D246" i="50"/>
  <c r="AI50" i="50"/>
  <c r="AI54" i="50"/>
  <c r="AH99" i="50"/>
  <c r="E230" i="50"/>
  <c r="F230" i="50" s="1"/>
  <c r="G230" i="50" s="1"/>
  <c r="H230" i="50" s="1"/>
  <c r="I230" i="50" s="1"/>
  <c r="J230" i="50" s="1"/>
  <c r="K230" i="50" s="1"/>
  <c r="L230" i="50" s="1"/>
  <c r="M230" i="50" s="1"/>
  <c r="N230" i="50" s="1"/>
  <c r="O230" i="50" s="1"/>
  <c r="P230" i="50" s="1"/>
  <c r="E234" i="50"/>
  <c r="AG2" i="50"/>
  <c r="AG6" i="50" s="1"/>
  <c r="AH50" i="50"/>
  <c r="D5" i="50"/>
  <c r="L5" i="50"/>
  <c r="T5" i="50"/>
  <c r="AB5" i="50"/>
  <c r="B100" i="50"/>
  <c r="E5" i="50"/>
  <c r="AH84" i="50"/>
  <c r="U5" i="50"/>
  <c r="AC5" i="50"/>
  <c r="AH68" i="50"/>
  <c r="AI84" i="50"/>
  <c r="M5" i="50"/>
  <c r="B110" i="50"/>
  <c r="AF7" i="50" l="1"/>
  <c r="AE92" i="50"/>
  <c r="AE7" i="50"/>
  <c r="AD92" i="50"/>
  <c r="AV249" i="50"/>
  <c r="AB7" i="50"/>
  <c r="AN249" i="50"/>
  <c r="V7" i="50"/>
  <c r="W92" i="50"/>
  <c r="W7" i="50"/>
  <c r="U7" i="50"/>
  <c r="U92" i="50"/>
  <c r="AL249" i="50"/>
  <c r="T7" i="50"/>
  <c r="AJ249" i="50"/>
  <c r="R7" i="50"/>
  <c r="Q92" i="50"/>
  <c r="Q7" i="50"/>
  <c r="AF249" i="50"/>
  <c r="M92" i="50"/>
  <c r="AH249" i="50"/>
  <c r="P7" i="50"/>
  <c r="O92" i="50"/>
  <c r="O7" i="50"/>
  <c r="AC249" i="50"/>
  <c r="N92" i="50"/>
  <c r="L92" i="50"/>
  <c r="AD249" i="50"/>
  <c r="J92" i="50"/>
  <c r="J7" i="50"/>
  <c r="K7" i="50"/>
  <c r="I7" i="50"/>
  <c r="H7" i="50"/>
  <c r="Z249" i="50"/>
  <c r="Y249" i="50"/>
  <c r="G7" i="50"/>
  <c r="C244" i="50"/>
  <c r="K6" i="50" s="1"/>
  <c r="X249" i="50"/>
  <c r="F7" i="50"/>
  <c r="B244" i="50"/>
  <c r="AA249" i="50"/>
  <c r="E7" i="50"/>
  <c r="W249" i="50"/>
  <c r="V249" i="50"/>
  <c r="D7" i="50"/>
  <c r="C7" i="50"/>
  <c r="U249" i="50"/>
  <c r="AH89" i="50"/>
  <c r="AI89" i="50"/>
  <c r="B91" i="50"/>
  <c r="B7" i="50" s="1"/>
  <c r="AI100" i="50"/>
  <c r="AH100" i="50"/>
  <c r="D270" i="50"/>
  <c r="F234" i="50"/>
  <c r="E235" i="50"/>
  <c r="E110" i="50"/>
  <c r="G229" i="50"/>
  <c r="F110" i="50"/>
  <c r="F235" i="50"/>
  <c r="A7" i="50" l="1"/>
  <c r="AH91" i="50"/>
  <c r="AI91" i="50"/>
  <c r="B92" i="50"/>
  <c r="AI92" i="50" s="1"/>
  <c r="T249" i="50"/>
  <c r="H229" i="50"/>
  <c r="G235" i="50"/>
  <c r="E270" i="50"/>
  <c r="G234" i="50"/>
  <c r="G110" i="50" s="1"/>
  <c r="AH92" i="50" l="1"/>
  <c r="I229" i="50"/>
  <c r="F270" i="50"/>
  <c r="H234" i="50"/>
  <c r="G270" i="50" l="1"/>
  <c r="I234" i="50"/>
  <c r="H235" i="50"/>
  <c r="H110" i="50"/>
  <c r="I110" i="50"/>
  <c r="J229" i="50"/>
  <c r="K229" i="50" l="1"/>
  <c r="H270" i="50"/>
  <c r="J234" i="50"/>
  <c r="K234" i="50" l="1"/>
  <c r="I270" i="50"/>
  <c r="K110" i="50"/>
  <c r="L229" i="50"/>
  <c r="J110" i="50"/>
  <c r="M229" i="50" l="1"/>
  <c r="L234" i="50"/>
  <c r="J270" i="50"/>
  <c r="K270" i="50" l="1"/>
  <c r="M234" i="50"/>
  <c r="L110" i="50"/>
  <c r="N229" i="50"/>
  <c r="M110" i="50"/>
  <c r="O229" i="50" l="1"/>
  <c r="N110" i="50"/>
  <c r="L270" i="50"/>
  <c r="N234" i="50"/>
  <c r="M270" i="50" l="1"/>
  <c r="O234" i="50"/>
  <c r="P229" i="50"/>
  <c r="O110" i="50"/>
  <c r="AI110" i="50" l="1"/>
  <c r="AH110" i="50"/>
  <c r="N270" i="50"/>
  <c r="P234" i="50"/>
  <c r="O270" i="50" s="1"/>
  <c r="R49" i="49" l="1"/>
  <c r="R50" i="49"/>
  <c r="R54" i="49"/>
  <c r="R68" i="49"/>
  <c r="R72" i="49"/>
  <c r="R84" i="49"/>
  <c r="R100" i="49" s="1"/>
  <c r="R99" i="49"/>
  <c r="R110" i="49"/>
  <c r="Q49" i="49"/>
  <c r="Q50" i="49"/>
  <c r="Q54" i="49"/>
  <c r="Q68" i="49"/>
  <c r="Q72" i="49"/>
  <c r="Q84" i="49"/>
  <c r="Q99" i="49"/>
  <c r="Q110" i="49"/>
  <c r="P49" i="49"/>
  <c r="P50" i="49"/>
  <c r="P54" i="49"/>
  <c r="P68" i="49"/>
  <c r="P72" i="49"/>
  <c r="P84" i="49"/>
  <c r="P100" i="49" s="1"/>
  <c r="P99" i="49"/>
  <c r="P110" i="49"/>
  <c r="O49" i="49"/>
  <c r="O50" i="49"/>
  <c r="O54" i="49"/>
  <c r="O68" i="49"/>
  <c r="O72" i="49"/>
  <c r="O84" i="49"/>
  <c r="O100" i="49" s="1"/>
  <c r="O99" i="49"/>
  <c r="O110" i="49"/>
  <c r="N49" i="49"/>
  <c r="N50" i="49"/>
  <c r="N54" i="49"/>
  <c r="N68" i="49"/>
  <c r="N72" i="49"/>
  <c r="N84" i="49"/>
  <c r="N100" i="49" s="1"/>
  <c r="N99" i="49"/>
  <c r="N110" i="49"/>
  <c r="R89" i="49" l="1"/>
  <c r="R91" i="49" s="1"/>
  <c r="R92" i="49" s="1"/>
  <c r="Q89" i="49"/>
  <c r="Q91" i="49" s="1"/>
  <c r="Q92" i="49" s="1"/>
  <c r="Q100" i="49"/>
  <c r="P89" i="49"/>
  <c r="P91" i="49" s="1"/>
  <c r="P92" i="49" s="1"/>
  <c r="O89" i="49"/>
  <c r="O91" i="49" s="1"/>
  <c r="O92" i="49" s="1"/>
  <c r="N89" i="49"/>
  <c r="N91" i="49" s="1"/>
  <c r="N92" i="49" s="1"/>
  <c r="M49" i="49" l="1"/>
  <c r="M50" i="49"/>
  <c r="M54" i="49"/>
  <c r="M68" i="49"/>
  <c r="M72" i="49"/>
  <c r="M84" i="49"/>
  <c r="M100" i="49" s="1"/>
  <c r="M99" i="49"/>
  <c r="M110" i="49"/>
  <c r="L113" i="49"/>
  <c r="L49" i="49"/>
  <c r="K113" i="49"/>
  <c r="K49" i="49"/>
  <c r="J113" i="49"/>
  <c r="J49" i="49"/>
  <c r="I49" i="49"/>
  <c r="H113" i="49"/>
  <c r="H49" i="49"/>
  <c r="G113" i="49"/>
  <c r="G49" i="49"/>
  <c r="F113" i="49"/>
  <c r="F49" i="49"/>
  <c r="E113" i="49"/>
  <c r="E49" i="49"/>
  <c r="M89" i="49" l="1"/>
  <c r="M91" i="49" s="1"/>
  <c r="M92" i="49" s="1"/>
  <c r="D113" i="49"/>
  <c r="D49" i="49"/>
  <c r="C113" i="49"/>
  <c r="C49" i="49"/>
  <c r="B113" i="49"/>
  <c r="B49" i="49"/>
  <c r="B68" i="49"/>
  <c r="B54" i="49"/>
  <c r="B50" i="49"/>
  <c r="AF274" i="49"/>
  <c r="AE274" i="49"/>
  <c r="AD274" i="49"/>
  <c r="AC274" i="49"/>
  <c r="AB274" i="49"/>
  <c r="AA274" i="49"/>
  <c r="Z274" i="49"/>
  <c r="Y274" i="49"/>
  <c r="X274" i="49"/>
  <c r="W274" i="49"/>
  <c r="V274" i="49"/>
  <c r="U274" i="49"/>
  <c r="T274" i="49"/>
  <c r="S274" i="49"/>
  <c r="R274" i="49"/>
  <c r="Q274" i="49"/>
  <c r="P274" i="49"/>
  <c r="O274" i="49"/>
  <c r="N274" i="49"/>
  <c r="M274" i="49"/>
  <c r="L274" i="49"/>
  <c r="K274" i="49"/>
  <c r="J274" i="49"/>
  <c r="I274" i="49"/>
  <c r="H274" i="49"/>
  <c r="G274" i="49"/>
  <c r="F274" i="49"/>
  <c r="E274" i="49"/>
  <c r="D274" i="49"/>
  <c r="C274" i="49"/>
  <c r="B274" i="49"/>
  <c r="A274" i="49"/>
  <c r="AF273" i="49"/>
  <c r="AE273" i="49"/>
  <c r="AD273" i="49"/>
  <c r="AC273" i="49"/>
  <c r="AB273" i="49"/>
  <c r="AA273" i="49"/>
  <c r="Z273" i="49"/>
  <c r="Y273" i="49"/>
  <c r="X273" i="49"/>
  <c r="W273" i="49"/>
  <c r="V273" i="49"/>
  <c r="U273" i="49"/>
  <c r="T273" i="49"/>
  <c r="S273" i="49"/>
  <c r="R273" i="49"/>
  <c r="Q273" i="49"/>
  <c r="P273" i="49"/>
  <c r="O273" i="49"/>
  <c r="N273" i="49"/>
  <c r="M273" i="49"/>
  <c r="L273" i="49"/>
  <c r="K273" i="49"/>
  <c r="J273" i="49"/>
  <c r="I273" i="49"/>
  <c r="H273" i="49"/>
  <c r="G273" i="49"/>
  <c r="F273" i="49"/>
  <c r="E273" i="49"/>
  <c r="D273" i="49"/>
  <c r="C273" i="49"/>
  <c r="B273" i="49"/>
  <c r="A273" i="49"/>
  <c r="AF272" i="49"/>
  <c r="AE272" i="49"/>
  <c r="AD272" i="49"/>
  <c r="AC272" i="49"/>
  <c r="AB272" i="49"/>
  <c r="AA272" i="49"/>
  <c r="Z272" i="49"/>
  <c r="Y272" i="49"/>
  <c r="X272" i="49"/>
  <c r="W272" i="49"/>
  <c r="V272" i="49"/>
  <c r="U272" i="49"/>
  <c r="T272" i="49"/>
  <c r="S272" i="49"/>
  <c r="R272" i="49"/>
  <c r="Q272" i="49"/>
  <c r="P272" i="49"/>
  <c r="O272" i="49"/>
  <c r="N272" i="49"/>
  <c r="M272" i="49"/>
  <c r="L272" i="49"/>
  <c r="K272" i="49"/>
  <c r="J272" i="49"/>
  <c r="I272" i="49"/>
  <c r="H272" i="49"/>
  <c r="G272" i="49"/>
  <c r="F272" i="49"/>
  <c r="E272" i="49"/>
  <c r="D272" i="49"/>
  <c r="C272" i="49"/>
  <c r="B272" i="49"/>
  <c r="A272" i="49"/>
  <c r="AF271" i="49"/>
  <c r="AE271" i="49"/>
  <c r="AD271" i="49"/>
  <c r="AC271" i="49"/>
  <c r="AB271" i="49"/>
  <c r="AA271" i="49"/>
  <c r="Z271" i="49"/>
  <c r="Y271" i="49"/>
  <c r="X271" i="49"/>
  <c r="W271" i="49"/>
  <c r="V271" i="49"/>
  <c r="U271" i="49"/>
  <c r="T271" i="49"/>
  <c r="S271" i="49"/>
  <c r="R271" i="49"/>
  <c r="Q271" i="49"/>
  <c r="P271" i="49"/>
  <c r="O271" i="49"/>
  <c r="N271" i="49"/>
  <c r="M271" i="49"/>
  <c r="L271" i="49"/>
  <c r="K271" i="49"/>
  <c r="J271" i="49"/>
  <c r="I271" i="49"/>
  <c r="H271" i="49"/>
  <c r="G271" i="49"/>
  <c r="F271" i="49"/>
  <c r="E271" i="49"/>
  <c r="D271" i="49"/>
  <c r="C271" i="49"/>
  <c r="B271" i="49"/>
  <c r="A271" i="49"/>
  <c r="AE270" i="49"/>
  <c r="AD270" i="49"/>
  <c r="AC270" i="49"/>
  <c r="AB270" i="49"/>
  <c r="AA270" i="49"/>
  <c r="Z270" i="49"/>
  <c r="Y270" i="49"/>
  <c r="X270" i="49"/>
  <c r="W270" i="49"/>
  <c r="V270" i="49"/>
  <c r="U270" i="49"/>
  <c r="T270" i="49"/>
  <c r="S270" i="49"/>
  <c r="R270" i="49"/>
  <c r="Q270" i="49"/>
  <c r="P270" i="49"/>
  <c r="C270" i="49"/>
  <c r="B270" i="49"/>
  <c r="S245" i="49"/>
  <c r="AG235" i="49"/>
  <c r="AF235" i="49"/>
  <c r="AE235" i="49"/>
  <c r="AD235" i="49"/>
  <c r="AC235" i="49"/>
  <c r="AB235" i="49"/>
  <c r="AA235" i="49"/>
  <c r="Z235" i="49"/>
  <c r="Y235" i="49"/>
  <c r="X235" i="49"/>
  <c r="W235" i="49"/>
  <c r="V235" i="49"/>
  <c r="U235" i="49"/>
  <c r="T235" i="49"/>
  <c r="S235" i="49"/>
  <c r="R235" i="49"/>
  <c r="Q235" i="49"/>
  <c r="C235" i="49"/>
  <c r="D234" i="49"/>
  <c r="E234" i="49" s="1"/>
  <c r="B234" i="49"/>
  <c r="AF270" i="49" s="1"/>
  <c r="D233" i="49"/>
  <c r="E233" i="49" s="1"/>
  <c r="F233" i="49" s="1"/>
  <c r="G233" i="49" s="1"/>
  <c r="H233" i="49" s="1"/>
  <c r="I233" i="49" s="1"/>
  <c r="J233" i="49" s="1"/>
  <c r="K233" i="49" s="1"/>
  <c r="L233" i="49" s="1"/>
  <c r="M233" i="49" s="1"/>
  <c r="N233" i="49" s="1"/>
  <c r="O233" i="49" s="1"/>
  <c r="P233" i="49" s="1"/>
  <c r="B233" i="49"/>
  <c r="F232" i="49"/>
  <c r="G232" i="49" s="1"/>
  <c r="H232" i="49" s="1"/>
  <c r="I232" i="49" s="1"/>
  <c r="E232" i="49"/>
  <c r="D232" i="49"/>
  <c r="B232" i="49"/>
  <c r="D231" i="49"/>
  <c r="E231" i="49" s="1"/>
  <c r="F231" i="49" s="1"/>
  <c r="G231" i="49" s="1"/>
  <c r="H231" i="49" s="1"/>
  <c r="B231" i="49"/>
  <c r="D230" i="49"/>
  <c r="E230" i="49" s="1"/>
  <c r="F230" i="49" s="1"/>
  <c r="G230" i="49" s="1"/>
  <c r="H230" i="49" s="1"/>
  <c r="I230" i="49" s="1"/>
  <c r="J230" i="49" s="1"/>
  <c r="K230" i="49" s="1"/>
  <c r="L230" i="49" s="1"/>
  <c r="M230" i="49" s="1"/>
  <c r="N230" i="49" s="1"/>
  <c r="O230" i="49" s="1"/>
  <c r="P230" i="49" s="1"/>
  <c r="B230" i="49"/>
  <c r="D229" i="49"/>
  <c r="D235" i="49" s="1"/>
  <c r="B229" i="49"/>
  <c r="B235" i="49" s="1"/>
  <c r="AG227" i="49"/>
  <c r="AF227" i="49"/>
  <c r="AE227" i="49"/>
  <c r="AD227" i="49"/>
  <c r="AC227" i="49"/>
  <c r="AB227" i="49"/>
  <c r="AA227" i="49"/>
  <c r="Z227" i="49"/>
  <c r="Y227" i="49"/>
  <c r="X227" i="49"/>
  <c r="W227" i="49"/>
  <c r="V227" i="49"/>
  <c r="U227" i="49"/>
  <c r="T227" i="49"/>
  <c r="S227" i="49"/>
  <c r="R227" i="49"/>
  <c r="Q227" i="49"/>
  <c r="P227" i="49"/>
  <c r="O227" i="49"/>
  <c r="N227" i="49"/>
  <c r="M227" i="49"/>
  <c r="L227" i="49"/>
  <c r="K227" i="49"/>
  <c r="J227" i="49"/>
  <c r="I227" i="49"/>
  <c r="H227" i="49"/>
  <c r="G227" i="49"/>
  <c r="F227" i="49"/>
  <c r="E227" i="49"/>
  <c r="D227" i="49"/>
  <c r="C227" i="49"/>
  <c r="B227" i="49"/>
  <c r="AI120" i="49"/>
  <c r="AH120" i="49"/>
  <c r="AI119" i="49"/>
  <c r="AH119" i="49"/>
  <c r="AI118" i="49"/>
  <c r="AH118" i="49"/>
  <c r="AI117" i="49"/>
  <c r="AH117" i="49"/>
  <c r="AI116" i="49"/>
  <c r="AH116" i="49"/>
  <c r="AI115" i="49"/>
  <c r="AH115" i="49"/>
  <c r="AI114" i="49"/>
  <c r="AH114" i="49"/>
  <c r="AI113" i="49"/>
  <c r="AH113" i="49"/>
  <c r="AI112" i="49"/>
  <c r="AH112" i="49"/>
  <c r="AI111" i="49"/>
  <c r="AH111" i="49"/>
  <c r="AF110" i="49"/>
  <c r="AE110" i="49"/>
  <c r="AC110" i="49"/>
  <c r="AB110" i="49"/>
  <c r="AA110" i="49"/>
  <c r="Z110" i="49"/>
  <c r="Y110" i="49"/>
  <c r="X110" i="49"/>
  <c r="W110" i="49"/>
  <c r="V110" i="49"/>
  <c r="U110" i="49"/>
  <c r="T110" i="49"/>
  <c r="S110" i="49"/>
  <c r="C110" i="49"/>
  <c r="B110" i="49"/>
  <c r="AI109" i="49"/>
  <c r="AH109" i="49"/>
  <c r="AI108" i="49"/>
  <c r="AH108" i="49"/>
  <c r="AI107" i="49"/>
  <c r="AH107" i="49"/>
  <c r="AI106" i="49"/>
  <c r="AH106" i="49"/>
  <c r="AI105" i="49"/>
  <c r="AH105" i="49"/>
  <c r="AI104" i="49"/>
  <c r="AH104" i="49"/>
  <c r="AI103" i="49"/>
  <c r="AH103" i="49"/>
  <c r="AI102" i="49"/>
  <c r="AH102" i="49"/>
  <c r="AI101" i="49"/>
  <c r="AH101" i="49"/>
  <c r="AF99" i="49"/>
  <c r="AE99" i="49"/>
  <c r="AD99" i="49"/>
  <c r="AC99" i="49"/>
  <c r="AB99" i="49"/>
  <c r="AA99" i="49"/>
  <c r="Z99" i="49"/>
  <c r="Z100" i="49" s="1"/>
  <c r="Y99" i="49"/>
  <c r="X99" i="49"/>
  <c r="W99" i="49"/>
  <c r="V99" i="49"/>
  <c r="U99" i="49"/>
  <c r="T99" i="49"/>
  <c r="S99" i="49"/>
  <c r="L99" i="49"/>
  <c r="K99" i="49"/>
  <c r="J99" i="49"/>
  <c r="I99" i="49"/>
  <c r="H99" i="49"/>
  <c r="G99" i="49"/>
  <c r="F99" i="49"/>
  <c r="E99" i="49"/>
  <c r="D99" i="49"/>
  <c r="C99" i="49"/>
  <c r="B99" i="49"/>
  <c r="AI98" i="49"/>
  <c r="AH98" i="49"/>
  <c r="AI97" i="49"/>
  <c r="AH97" i="49"/>
  <c r="AI96" i="49"/>
  <c r="AH96" i="49"/>
  <c r="AI95" i="49"/>
  <c r="AH95" i="49"/>
  <c r="AI94" i="49"/>
  <c r="AH94" i="49"/>
  <c r="AI93" i="49"/>
  <c r="AH93" i="49"/>
  <c r="AI90" i="49"/>
  <c r="AH90" i="49"/>
  <c r="AA89" i="49"/>
  <c r="AA91" i="49" s="1"/>
  <c r="AI88" i="49"/>
  <c r="AH88" i="49"/>
  <c r="AG88" i="49"/>
  <c r="AI87" i="49"/>
  <c r="AH87" i="49"/>
  <c r="AI86" i="49"/>
  <c r="AH86" i="49"/>
  <c r="AI85" i="49"/>
  <c r="AH85" i="49"/>
  <c r="AG84" i="49"/>
  <c r="AF84" i="49"/>
  <c r="AE5" i="49" s="1"/>
  <c r="AE84" i="49"/>
  <c r="AD84" i="49"/>
  <c r="AD100" i="49" s="1"/>
  <c r="AC84" i="49"/>
  <c r="AB5" i="49" s="1"/>
  <c r="AB84" i="49"/>
  <c r="AB100" i="49" s="1"/>
  <c r="AA84" i="49"/>
  <c r="AA100" i="49" s="1"/>
  <c r="Z84" i="49"/>
  <c r="Y84" i="49"/>
  <c r="X5" i="49" s="1"/>
  <c r="X84" i="49"/>
  <c r="W5" i="49" s="1"/>
  <c r="W84" i="49"/>
  <c r="V5" i="49" s="1"/>
  <c r="V84" i="49"/>
  <c r="V100" i="49" s="1"/>
  <c r="U84" i="49"/>
  <c r="U100" i="49" s="1"/>
  <c r="T84" i="49"/>
  <c r="T100" i="49" s="1"/>
  <c r="S84" i="49"/>
  <c r="S100" i="49" s="1"/>
  <c r="P5" i="49"/>
  <c r="O5" i="49"/>
  <c r="L84" i="49"/>
  <c r="L100" i="49" s="1"/>
  <c r="K84" i="49"/>
  <c r="K100" i="49" s="1"/>
  <c r="J84" i="49"/>
  <c r="I5" i="49" s="1"/>
  <c r="I84" i="49"/>
  <c r="H5" i="49" s="1"/>
  <c r="H84" i="49"/>
  <c r="G5" i="49" s="1"/>
  <c r="G84" i="49"/>
  <c r="G100" i="49" s="1"/>
  <c r="F84" i="49"/>
  <c r="F100" i="49" s="1"/>
  <c r="E84" i="49"/>
  <c r="D5" i="49" s="1"/>
  <c r="D84" i="49"/>
  <c r="D100" i="49" s="1"/>
  <c r="C84" i="49"/>
  <c r="C100" i="49" s="1"/>
  <c r="B84" i="49"/>
  <c r="AI83" i="49"/>
  <c r="AH83" i="49"/>
  <c r="AI82" i="49"/>
  <c r="AH82" i="49"/>
  <c r="AI81" i="49"/>
  <c r="AH81" i="49"/>
  <c r="AI80" i="49"/>
  <c r="AH80" i="49"/>
  <c r="AI79" i="49"/>
  <c r="AH79" i="49"/>
  <c r="AI78" i="49"/>
  <c r="AH78" i="49"/>
  <c r="AI77" i="49"/>
  <c r="AH77" i="49"/>
  <c r="AI76" i="49"/>
  <c r="AH76" i="49"/>
  <c r="AI75" i="49"/>
  <c r="AH75" i="49"/>
  <c r="AI74" i="49"/>
  <c r="AH74" i="49"/>
  <c r="AI73" i="49"/>
  <c r="AH73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L72" i="49"/>
  <c r="B72" i="49"/>
  <c r="AI71" i="49"/>
  <c r="AH71" i="49"/>
  <c r="AI70" i="49"/>
  <c r="AH70" i="49"/>
  <c r="AI69" i="49"/>
  <c r="AH69" i="49"/>
  <c r="AF68" i="49"/>
  <c r="AE68" i="49"/>
  <c r="AD68" i="49"/>
  <c r="AC68" i="49"/>
  <c r="AB68" i="49"/>
  <c r="AA68" i="49"/>
  <c r="Z68" i="49"/>
  <c r="Y68" i="49"/>
  <c r="X68" i="49"/>
  <c r="W68" i="49"/>
  <c r="V68" i="49"/>
  <c r="U68" i="49"/>
  <c r="T68" i="49"/>
  <c r="S68" i="49"/>
  <c r="L68" i="49"/>
  <c r="K68" i="49"/>
  <c r="J68" i="49"/>
  <c r="I68" i="49"/>
  <c r="H68" i="49"/>
  <c r="G68" i="49"/>
  <c r="F68" i="49"/>
  <c r="E68" i="49"/>
  <c r="D68" i="49"/>
  <c r="C68" i="49"/>
  <c r="AI67" i="49"/>
  <c r="AH67" i="49"/>
  <c r="AG67" i="49"/>
  <c r="AG68" i="49" s="1"/>
  <c r="AI66" i="49"/>
  <c r="AH66" i="49"/>
  <c r="AI65" i="49"/>
  <c r="AH65" i="49"/>
  <c r="AI64" i="49"/>
  <c r="AH64" i="49"/>
  <c r="AI63" i="49"/>
  <c r="AH63" i="49"/>
  <c r="AI62" i="49"/>
  <c r="AH62" i="49"/>
  <c r="AI61" i="49"/>
  <c r="AH61" i="49"/>
  <c r="AI60" i="49"/>
  <c r="AH60" i="49"/>
  <c r="AI59" i="49"/>
  <c r="AH59" i="49"/>
  <c r="AI58" i="49"/>
  <c r="AH58" i="49"/>
  <c r="AI57" i="49"/>
  <c r="AH57" i="49"/>
  <c r="AI56" i="49"/>
  <c r="AH56" i="49"/>
  <c r="AI55" i="49"/>
  <c r="AH55" i="49"/>
  <c r="AG54" i="49"/>
  <c r="AF54" i="49"/>
  <c r="AE54" i="49"/>
  <c r="AD54" i="49"/>
  <c r="AC54" i="49"/>
  <c r="AB54" i="49"/>
  <c r="AA54" i="49"/>
  <c r="Z54" i="49"/>
  <c r="Y54" i="49"/>
  <c r="X54" i="49"/>
  <c r="W54" i="49"/>
  <c r="V54" i="49"/>
  <c r="U54" i="49"/>
  <c r="T54" i="49"/>
  <c r="S54" i="49"/>
  <c r="L54" i="49"/>
  <c r="K54" i="49"/>
  <c r="J54" i="49"/>
  <c r="I54" i="49"/>
  <c r="H54" i="49"/>
  <c r="G54" i="49"/>
  <c r="F54" i="49"/>
  <c r="E54" i="49"/>
  <c r="D54" i="49"/>
  <c r="C54" i="49"/>
  <c r="AI53" i="49"/>
  <c r="AH53" i="49"/>
  <c r="AI52" i="49"/>
  <c r="AH52" i="49"/>
  <c r="AI51" i="49"/>
  <c r="AH51" i="49"/>
  <c r="AG50" i="49"/>
  <c r="AF50" i="49"/>
  <c r="AE50" i="49"/>
  <c r="AD50" i="49"/>
  <c r="AC50" i="49"/>
  <c r="AB50" i="49"/>
  <c r="AA50" i="49"/>
  <c r="Z50" i="49"/>
  <c r="Z89" i="49" s="1"/>
  <c r="Z91" i="49" s="1"/>
  <c r="Y50" i="49"/>
  <c r="X50" i="49"/>
  <c r="W50" i="49"/>
  <c r="V50" i="49"/>
  <c r="U50" i="49"/>
  <c r="T50" i="49"/>
  <c r="S50" i="49"/>
  <c r="L50" i="49"/>
  <c r="K50" i="49"/>
  <c r="J50" i="49"/>
  <c r="I50" i="49"/>
  <c r="H50" i="49"/>
  <c r="G50" i="49"/>
  <c r="F50" i="49"/>
  <c r="E50" i="49"/>
  <c r="D50" i="49"/>
  <c r="C50" i="49"/>
  <c r="AI49" i="49"/>
  <c r="AH49" i="49"/>
  <c r="AI48" i="49"/>
  <c r="AH48" i="49"/>
  <c r="AI47" i="49"/>
  <c r="AH47" i="49"/>
  <c r="AI46" i="49"/>
  <c r="AH46" i="49"/>
  <c r="AI45" i="49"/>
  <c r="AH45" i="49"/>
  <c r="AI44" i="49"/>
  <c r="AH44" i="49"/>
  <c r="AI43" i="49"/>
  <c r="AH43" i="49"/>
  <c r="AI42" i="49"/>
  <c r="AH42" i="49"/>
  <c r="AI41" i="49"/>
  <c r="AH41" i="49"/>
  <c r="AI40" i="49"/>
  <c r="AH40" i="49"/>
  <c r="AI39" i="49"/>
  <c r="AH39" i="49"/>
  <c r="AI38" i="49"/>
  <c r="AH38" i="49"/>
  <c r="AI37" i="49"/>
  <c r="AH37" i="49"/>
  <c r="AI36" i="49"/>
  <c r="AH36" i="49"/>
  <c r="AI35" i="49"/>
  <c r="AH35" i="49"/>
  <c r="AI34" i="49"/>
  <c r="AH34" i="49"/>
  <c r="AI33" i="49"/>
  <c r="AH33" i="49"/>
  <c r="AI32" i="49"/>
  <c r="AH32" i="49"/>
  <c r="AI31" i="49"/>
  <c r="AH31" i="49"/>
  <c r="AI30" i="49"/>
  <c r="AH30" i="49"/>
  <c r="AI29" i="49"/>
  <c r="AH29" i="49"/>
  <c r="AI28" i="49"/>
  <c r="AH28" i="49"/>
  <c r="AI27" i="49"/>
  <c r="AH27" i="49"/>
  <c r="AI26" i="49"/>
  <c r="AH26" i="49"/>
  <c r="AI25" i="49"/>
  <c r="AH25" i="49"/>
  <c r="AI24" i="49"/>
  <c r="AH24" i="49"/>
  <c r="AI23" i="49"/>
  <c r="AH23" i="49"/>
  <c r="AI22" i="49"/>
  <c r="AH22" i="49"/>
  <c r="AI21" i="49"/>
  <c r="AH21" i="49"/>
  <c r="AI20" i="49"/>
  <c r="AH20" i="49"/>
  <c r="AI19" i="49"/>
  <c r="AH19" i="49"/>
  <c r="AI18" i="49"/>
  <c r="AH18" i="49"/>
  <c r="AI17" i="49"/>
  <c r="AH17" i="49"/>
  <c r="AI16" i="49"/>
  <c r="AH16" i="49"/>
  <c r="AI15" i="49"/>
  <c r="AH15" i="49"/>
  <c r="AI14" i="49"/>
  <c r="AH14" i="49"/>
  <c r="AI13" i="49"/>
  <c r="AH13" i="49"/>
  <c r="AI12" i="49"/>
  <c r="AH12" i="49"/>
  <c r="AI11" i="49"/>
  <c r="AH11" i="49"/>
  <c r="Z5" i="49"/>
  <c r="Y5" i="49"/>
  <c r="Q5" i="49"/>
  <c r="N5" i="49"/>
  <c r="L5" i="49"/>
  <c r="AG4" i="49"/>
  <c r="K4" i="49"/>
  <c r="E4" i="49"/>
  <c r="H4" i="49" s="1"/>
  <c r="B4" i="49"/>
  <c r="S246" i="49" s="1"/>
  <c r="AG2" i="49"/>
  <c r="AF113" i="48"/>
  <c r="AF49" i="48"/>
  <c r="AE113" i="48"/>
  <c r="AE49" i="48"/>
  <c r="AD113" i="48"/>
  <c r="AD49" i="48"/>
  <c r="AC113" i="48"/>
  <c r="AC49" i="48"/>
  <c r="AB113" i="48"/>
  <c r="AB49" i="48"/>
  <c r="T5" i="49" l="1"/>
  <c r="AE100" i="49"/>
  <c r="AD5" i="49"/>
  <c r="AE89" i="49"/>
  <c r="AE91" i="49" s="1"/>
  <c r="AW249" i="49" s="1"/>
  <c r="AD89" i="49"/>
  <c r="AD91" i="49" s="1"/>
  <c r="AV249" i="49" s="1"/>
  <c r="AF89" i="49"/>
  <c r="AF91" i="49" s="1"/>
  <c r="AF7" i="49" s="1"/>
  <c r="AC100" i="49"/>
  <c r="AC89" i="49"/>
  <c r="AC91" i="49" s="1"/>
  <c r="AC7" i="49" s="1"/>
  <c r="AA5" i="49"/>
  <c r="AB89" i="49"/>
  <c r="AB91" i="49" s="1"/>
  <c r="AB92" i="49" s="1"/>
  <c r="Y100" i="49"/>
  <c r="Y89" i="49"/>
  <c r="Y91" i="49" s="1"/>
  <c r="Y7" i="49" s="1"/>
  <c r="X89" i="49"/>
  <c r="X91" i="49" s="1"/>
  <c r="X92" i="49" s="1"/>
  <c r="W100" i="49"/>
  <c r="W89" i="49"/>
  <c r="W91" i="49" s="1"/>
  <c r="W7" i="49" s="1"/>
  <c r="AI72" i="49"/>
  <c r="U89" i="49"/>
  <c r="U91" i="49" s="1"/>
  <c r="U7" i="49" s="1"/>
  <c r="V89" i="49"/>
  <c r="V91" i="49" s="1"/>
  <c r="V92" i="49" s="1"/>
  <c r="S5" i="49"/>
  <c r="T89" i="49"/>
  <c r="T91" i="49" s="1"/>
  <c r="R5" i="49"/>
  <c r="S89" i="49"/>
  <c r="S91" i="49" s="1"/>
  <c r="L89" i="49"/>
  <c r="L91" i="49" s="1"/>
  <c r="L7" i="49" s="1"/>
  <c r="K5" i="49"/>
  <c r="K89" i="49"/>
  <c r="K91" i="49" s="1"/>
  <c r="J5" i="49"/>
  <c r="J100" i="49"/>
  <c r="J89" i="49"/>
  <c r="J91" i="49" s="1"/>
  <c r="J92" i="49" s="1"/>
  <c r="I100" i="49"/>
  <c r="AI54" i="49"/>
  <c r="H89" i="49"/>
  <c r="H91" i="49" s="1"/>
  <c r="F5" i="49"/>
  <c r="G89" i="49"/>
  <c r="G91" i="49" s="1"/>
  <c r="E100" i="49"/>
  <c r="E89" i="49"/>
  <c r="E91" i="49" s="1"/>
  <c r="E92" i="49" s="1"/>
  <c r="C5" i="49"/>
  <c r="D89" i="49"/>
  <c r="D91" i="49" s="1"/>
  <c r="D7" i="49" s="1"/>
  <c r="AI99" i="49"/>
  <c r="C89" i="49"/>
  <c r="C91" i="49" s="1"/>
  <c r="U249" i="49" s="1"/>
  <c r="AI84" i="49"/>
  <c r="B5" i="49"/>
  <c r="AH68" i="49"/>
  <c r="AF5" i="49"/>
  <c r="B89" i="49"/>
  <c r="B91" i="49" s="1"/>
  <c r="AI68" i="49"/>
  <c r="D246" i="49"/>
  <c r="M7" i="49"/>
  <c r="AE249" i="49"/>
  <c r="J7" i="49"/>
  <c r="R7" i="49"/>
  <c r="AJ249" i="49"/>
  <c r="AR249" i="49"/>
  <c r="Z92" i="49"/>
  <c r="Z7" i="49"/>
  <c r="S92" i="49"/>
  <c r="S7" i="49"/>
  <c r="AK249" i="49"/>
  <c r="F234" i="49"/>
  <c r="D270" i="49"/>
  <c r="AA92" i="49"/>
  <c r="AA7" i="49"/>
  <c r="AS249" i="49"/>
  <c r="N7" i="49"/>
  <c r="AF249" i="49"/>
  <c r="U92" i="49"/>
  <c r="T92" i="49"/>
  <c r="T7" i="49"/>
  <c r="AL249" i="49"/>
  <c r="Q7" i="49"/>
  <c r="AI249" i="49"/>
  <c r="Y92" i="49"/>
  <c r="AQ249" i="49"/>
  <c r="AG89" i="49"/>
  <c r="C92" i="49"/>
  <c r="C7" i="49"/>
  <c r="J232" i="49"/>
  <c r="K232" i="49" s="1"/>
  <c r="L232" i="49" s="1"/>
  <c r="M232" i="49" s="1"/>
  <c r="N232" i="49" s="1"/>
  <c r="O232" i="49" s="1"/>
  <c r="P232" i="49" s="1"/>
  <c r="Y249" i="49"/>
  <c r="G92" i="49"/>
  <c r="G7" i="49"/>
  <c r="E7" i="49"/>
  <c r="W249" i="49"/>
  <c r="AG249" i="49"/>
  <c r="O7" i="49"/>
  <c r="H92" i="49"/>
  <c r="H7" i="49"/>
  <c r="Z249" i="49"/>
  <c r="P7" i="49"/>
  <c r="AH249" i="49"/>
  <c r="AG3" i="49"/>
  <c r="AG6" i="49" s="1"/>
  <c r="AG91" i="49"/>
  <c r="K92" i="49"/>
  <c r="K7" i="49"/>
  <c r="AC249" i="49"/>
  <c r="AH50" i="49"/>
  <c r="AH54" i="49"/>
  <c r="D110" i="49"/>
  <c r="AI50" i="49"/>
  <c r="AH99" i="49"/>
  <c r="H100" i="49"/>
  <c r="X100" i="49"/>
  <c r="AF100" i="49"/>
  <c r="F89" i="49"/>
  <c r="F91" i="49" s="1"/>
  <c r="B100" i="49"/>
  <c r="E229" i="49"/>
  <c r="E5" i="49"/>
  <c r="M5" i="49"/>
  <c r="U5" i="49"/>
  <c r="AC5" i="49"/>
  <c r="AH72" i="49"/>
  <c r="AH84" i="49"/>
  <c r="I89" i="49"/>
  <c r="I91" i="49" s="1"/>
  <c r="AF92" i="49" l="1"/>
  <c r="AX249" i="49"/>
  <c r="AC92" i="49"/>
  <c r="AE7" i="49"/>
  <c r="AE92" i="49"/>
  <c r="AD92" i="49"/>
  <c r="AD7" i="49"/>
  <c r="AU249" i="49"/>
  <c r="AT249" i="49"/>
  <c r="AB7" i="49"/>
  <c r="AP249" i="49"/>
  <c r="X7" i="49"/>
  <c r="W92" i="49"/>
  <c r="AO249" i="49"/>
  <c r="AM249" i="49"/>
  <c r="V7" i="49"/>
  <c r="AN249" i="49"/>
  <c r="AD249" i="49"/>
  <c r="L92" i="49"/>
  <c r="AB249" i="49"/>
  <c r="V249" i="49"/>
  <c r="D92" i="49"/>
  <c r="AH89" i="49"/>
  <c r="F229" i="49"/>
  <c r="E110" i="49"/>
  <c r="E235" i="49"/>
  <c r="E270" i="49"/>
  <c r="G234" i="49"/>
  <c r="I7" i="49"/>
  <c r="I92" i="49"/>
  <c r="AA249" i="49"/>
  <c r="F7" i="49"/>
  <c r="X249" i="49"/>
  <c r="F92" i="49"/>
  <c r="AH100" i="49"/>
  <c r="AI100" i="49"/>
  <c r="B244" i="49"/>
  <c r="C244" i="49"/>
  <c r="AI89" i="49"/>
  <c r="B92" i="49"/>
  <c r="AI91" i="49"/>
  <c r="B7" i="49"/>
  <c r="T249" i="49"/>
  <c r="AH91" i="49"/>
  <c r="K6" i="49" l="1"/>
  <c r="F270" i="49"/>
  <c r="H234" i="49"/>
  <c r="A7" i="49"/>
  <c r="AI92" i="49"/>
  <c r="AH92" i="49"/>
  <c r="F110" i="49"/>
  <c r="G229" i="49"/>
  <c r="F235" i="49"/>
  <c r="H229" i="49" l="1"/>
  <c r="G235" i="49"/>
  <c r="G110" i="49"/>
  <c r="G270" i="49"/>
  <c r="I234" i="49"/>
  <c r="H270" i="49" l="1"/>
  <c r="J234" i="49"/>
  <c r="I229" i="49"/>
  <c r="H110" i="49"/>
  <c r="H235" i="49"/>
  <c r="I110" i="49" l="1"/>
  <c r="J229" i="49"/>
  <c r="K234" i="49"/>
  <c r="I270" i="49"/>
  <c r="J110" i="49" l="1"/>
  <c r="K229" i="49"/>
  <c r="J270" i="49"/>
  <c r="L234" i="49"/>
  <c r="K270" i="49" l="1"/>
  <c r="M234" i="49"/>
  <c r="K110" i="49"/>
  <c r="L229" i="49"/>
  <c r="M229" i="49" l="1"/>
  <c r="L110" i="49"/>
  <c r="N234" i="49"/>
  <c r="L270" i="49"/>
  <c r="M270" i="49" l="1"/>
  <c r="O234" i="49"/>
  <c r="N229" i="49"/>
  <c r="O229" i="49" l="1"/>
  <c r="N270" i="49"/>
  <c r="P234" i="49"/>
  <c r="O270" i="49" s="1"/>
  <c r="P229" i="49" l="1"/>
  <c r="AI110" i="49" l="1"/>
  <c r="AH110" i="49"/>
  <c r="V49" i="48" l="1"/>
  <c r="U49" i="48"/>
  <c r="T49" i="48" l="1"/>
  <c r="S49" i="48" l="1"/>
  <c r="R49" i="48"/>
  <c r="Q49" i="48"/>
  <c r="O49" i="48"/>
  <c r="P49" i="48"/>
  <c r="N49" i="48"/>
  <c r="C92" i="48" l="1"/>
  <c r="D92" i="48"/>
  <c r="E92" i="48"/>
  <c r="F92" i="48"/>
  <c r="G92" i="48"/>
  <c r="H92" i="48"/>
  <c r="I92" i="48"/>
  <c r="J92" i="48"/>
  <c r="K92" i="48"/>
  <c r="L92" i="48"/>
  <c r="B92" i="48"/>
  <c r="M49" i="48"/>
  <c r="L113" i="48"/>
  <c r="L49" i="48"/>
  <c r="K113" i="48"/>
  <c r="K49" i="48"/>
  <c r="J113" i="48"/>
  <c r="J49" i="48"/>
  <c r="I113" i="48"/>
  <c r="I49" i="48"/>
  <c r="H113" i="48" l="1"/>
  <c r="H49" i="48"/>
  <c r="G113" i="48"/>
  <c r="G49" i="48"/>
  <c r="F113" i="48"/>
  <c r="F49" i="48"/>
  <c r="E113" i="48" l="1"/>
  <c r="E49" i="48"/>
  <c r="D113" i="48" l="1"/>
  <c r="D49" i="48"/>
  <c r="D50" i="48"/>
  <c r="D54" i="48"/>
  <c r="D68" i="48"/>
  <c r="D72" i="48"/>
  <c r="D84" i="48"/>
  <c r="D100" i="48" s="1"/>
  <c r="D99" i="48"/>
  <c r="D110" i="48"/>
  <c r="C113" i="48"/>
  <c r="C49" i="48"/>
  <c r="C50" i="48"/>
  <c r="C54" i="48"/>
  <c r="C68" i="48"/>
  <c r="C72" i="48"/>
  <c r="B113" i="48"/>
  <c r="B49" i="48"/>
  <c r="B99" i="48"/>
  <c r="B84" i="48"/>
  <c r="B72" i="48"/>
  <c r="B68" i="48"/>
  <c r="B54" i="48"/>
  <c r="B50" i="48"/>
  <c r="AI49" i="48"/>
  <c r="AF274" i="48"/>
  <c r="AE274" i="48"/>
  <c r="AD274" i="48"/>
  <c r="AC274" i="48"/>
  <c r="AB274" i="48"/>
  <c r="AA274" i="48"/>
  <c r="Z274" i="48"/>
  <c r="Y274" i="48"/>
  <c r="X274" i="48"/>
  <c r="W274" i="48"/>
  <c r="V274" i="48"/>
  <c r="U274" i="48"/>
  <c r="T274" i="48"/>
  <c r="S274" i="48"/>
  <c r="R274" i="48"/>
  <c r="Q274" i="48"/>
  <c r="P274" i="48"/>
  <c r="O274" i="48"/>
  <c r="N274" i="48"/>
  <c r="M274" i="48"/>
  <c r="L274" i="48"/>
  <c r="K274" i="48"/>
  <c r="J274" i="48"/>
  <c r="I274" i="48"/>
  <c r="H274" i="48"/>
  <c r="G274" i="48"/>
  <c r="F274" i="48"/>
  <c r="E274" i="48"/>
  <c r="D274" i="48"/>
  <c r="C274" i="48"/>
  <c r="B274" i="48"/>
  <c r="A274" i="48"/>
  <c r="AF273" i="48"/>
  <c r="AE273" i="48"/>
  <c r="AD273" i="48"/>
  <c r="AC273" i="48"/>
  <c r="AB273" i="48"/>
  <c r="AA273" i="48"/>
  <c r="Z273" i="48"/>
  <c r="Y273" i="48"/>
  <c r="X273" i="48"/>
  <c r="W273" i="48"/>
  <c r="V273" i="48"/>
  <c r="U273" i="48"/>
  <c r="T273" i="48"/>
  <c r="S273" i="48"/>
  <c r="R273" i="48"/>
  <c r="Q273" i="48"/>
  <c r="P273" i="48"/>
  <c r="O273" i="48"/>
  <c r="N273" i="48"/>
  <c r="M273" i="48"/>
  <c r="L273" i="48"/>
  <c r="K273" i="48"/>
  <c r="J273" i="48"/>
  <c r="I273" i="48"/>
  <c r="H273" i="48"/>
  <c r="G273" i="48"/>
  <c r="F273" i="48"/>
  <c r="E273" i="48"/>
  <c r="D273" i="48"/>
  <c r="C273" i="48"/>
  <c r="B273" i="48"/>
  <c r="A273" i="48"/>
  <c r="AF272" i="48"/>
  <c r="AE272" i="48"/>
  <c r="AD272" i="48"/>
  <c r="AC272" i="48"/>
  <c r="AB272" i="48"/>
  <c r="AA272" i="48"/>
  <c r="Z272" i="48"/>
  <c r="Y272" i="48"/>
  <c r="X272" i="48"/>
  <c r="W272" i="48"/>
  <c r="V272" i="48"/>
  <c r="U272" i="48"/>
  <c r="T272" i="48"/>
  <c r="S272" i="48"/>
  <c r="R272" i="48"/>
  <c r="Q272" i="48"/>
  <c r="P272" i="48"/>
  <c r="O272" i="48"/>
  <c r="N272" i="48"/>
  <c r="M272" i="48"/>
  <c r="L272" i="48"/>
  <c r="K272" i="48"/>
  <c r="J272" i="48"/>
  <c r="I272" i="48"/>
  <c r="H272" i="48"/>
  <c r="G272" i="48"/>
  <c r="F272" i="48"/>
  <c r="E272" i="48"/>
  <c r="D272" i="48"/>
  <c r="C272" i="48"/>
  <c r="B272" i="48"/>
  <c r="A272" i="48"/>
  <c r="AF271" i="48"/>
  <c r="AE271" i="48"/>
  <c r="AD271" i="48"/>
  <c r="AC271" i="48"/>
  <c r="AB271" i="48"/>
  <c r="AA271" i="48"/>
  <c r="Z271" i="48"/>
  <c r="Y271" i="48"/>
  <c r="X271" i="48"/>
  <c r="W271" i="48"/>
  <c r="V271" i="48"/>
  <c r="U271" i="48"/>
  <c r="T271" i="48"/>
  <c r="S271" i="48"/>
  <c r="R271" i="48"/>
  <c r="Q271" i="48"/>
  <c r="P271" i="48"/>
  <c r="O271" i="48"/>
  <c r="N271" i="48"/>
  <c r="M271" i="48"/>
  <c r="L271" i="48"/>
  <c r="K271" i="48"/>
  <c r="J271" i="48"/>
  <c r="I271" i="48"/>
  <c r="H271" i="48"/>
  <c r="G271" i="48"/>
  <c r="F271" i="48"/>
  <c r="E271" i="48"/>
  <c r="D271" i="48"/>
  <c r="C271" i="48"/>
  <c r="B271" i="48"/>
  <c r="A271" i="48"/>
  <c r="AE270" i="48"/>
  <c r="AD270" i="48"/>
  <c r="AC270" i="48"/>
  <c r="AB270" i="48"/>
  <c r="AA270" i="48"/>
  <c r="Z270" i="48"/>
  <c r="Y270" i="48"/>
  <c r="X270" i="48"/>
  <c r="W270" i="48"/>
  <c r="V270" i="48"/>
  <c r="U270" i="48"/>
  <c r="T270" i="48"/>
  <c r="S270" i="48"/>
  <c r="R270" i="48"/>
  <c r="Q270" i="48"/>
  <c r="P270" i="48"/>
  <c r="B270" i="48"/>
  <c r="S245" i="48"/>
  <c r="AG235" i="48"/>
  <c r="AF235" i="48"/>
  <c r="AE235" i="48"/>
  <c r="AD235" i="48"/>
  <c r="AC235" i="48"/>
  <c r="AB235" i="48"/>
  <c r="AA235" i="48"/>
  <c r="Z235" i="48"/>
  <c r="Y235" i="48"/>
  <c r="X235" i="48"/>
  <c r="W235" i="48"/>
  <c r="V235" i="48"/>
  <c r="U235" i="48"/>
  <c r="T235" i="48"/>
  <c r="S235" i="48"/>
  <c r="R235" i="48"/>
  <c r="Q235" i="48"/>
  <c r="C235" i="48"/>
  <c r="D234" i="48"/>
  <c r="C270" i="48" s="1"/>
  <c r="B234" i="48"/>
  <c r="AF270" i="48" s="1"/>
  <c r="D233" i="48"/>
  <c r="E233" i="48" s="1"/>
  <c r="F233" i="48" s="1"/>
  <c r="G233" i="48" s="1"/>
  <c r="H233" i="48" s="1"/>
  <c r="I233" i="48" s="1"/>
  <c r="J233" i="48" s="1"/>
  <c r="K233" i="48" s="1"/>
  <c r="L233" i="48" s="1"/>
  <c r="M233" i="48" s="1"/>
  <c r="N233" i="48" s="1"/>
  <c r="O233" i="48" s="1"/>
  <c r="P233" i="48" s="1"/>
  <c r="B233" i="48"/>
  <c r="D232" i="48"/>
  <c r="E232" i="48" s="1"/>
  <c r="F232" i="48" s="1"/>
  <c r="G232" i="48" s="1"/>
  <c r="H232" i="48" s="1"/>
  <c r="I232" i="48" s="1"/>
  <c r="B232" i="48"/>
  <c r="F231" i="48"/>
  <c r="G231" i="48" s="1"/>
  <c r="H231" i="48" s="1"/>
  <c r="E231" i="48"/>
  <c r="D231" i="48"/>
  <c r="B231" i="48"/>
  <c r="D230" i="48"/>
  <c r="D235" i="48" s="1"/>
  <c r="B230" i="48"/>
  <c r="D229" i="48"/>
  <c r="E229" i="48" s="1"/>
  <c r="B229" i="48"/>
  <c r="B235" i="48" s="1"/>
  <c r="AG227" i="48"/>
  <c r="AF227" i="48"/>
  <c r="AE227" i="48"/>
  <c r="AD227" i="48"/>
  <c r="AC227" i="48"/>
  <c r="AB227" i="48"/>
  <c r="AA227" i="48"/>
  <c r="Z227" i="48"/>
  <c r="Y227" i="48"/>
  <c r="X227" i="48"/>
  <c r="W227" i="48"/>
  <c r="V227" i="48"/>
  <c r="U227" i="48"/>
  <c r="T227" i="48"/>
  <c r="S227" i="48"/>
  <c r="R227" i="48"/>
  <c r="Q227" i="48"/>
  <c r="P227" i="48"/>
  <c r="O227" i="48"/>
  <c r="N227" i="48"/>
  <c r="M227" i="48"/>
  <c r="L227" i="48"/>
  <c r="K227" i="48"/>
  <c r="J227" i="48"/>
  <c r="I227" i="48"/>
  <c r="H227" i="48"/>
  <c r="G227" i="48"/>
  <c r="F227" i="48"/>
  <c r="E227" i="48"/>
  <c r="D227" i="48"/>
  <c r="C227" i="48"/>
  <c r="B227" i="48"/>
  <c r="AI120" i="48"/>
  <c r="AH120" i="48"/>
  <c r="AI119" i="48"/>
  <c r="AH119" i="48"/>
  <c r="AI118" i="48"/>
  <c r="AH118" i="48"/>
  <c r="AI117" i="48"/>
  <c r="AH117" i="48"/>
  <c r="AI116" i="48"/>
  <c r="AH116" i="48"/>
  <c r="AI115" i="48"/>
  <c r="AH115" i="48"/>
  <c r="AI114" i="48"/>
  <c r="AH114" i="48"/>
  <c r="AI113" i="48"/>
  <c r="AH113" i="48"/>
  <c r="AI112" i="48"/>
  <c r="AH112" i="48"/>
  <c r="AI111" i="48"/>
  <c r="AH111" i="48"/>
  <c r="AF110" i="48"/>
  <c r="AE110" i="48"/>
  <c r="AC110" i="48"/>
  <c r="AB110" i="48"/>
  <c r="AA110" i="48"/>
  <c r="Z110" i="48"/>
  <c r="Y110" i="48"/>
  <c r="X110" i="48"/>
  <c r="W110" i="48"/>
  <c r="V110" i="48"/>
  <c r="U110" i="48"/>
  <c r="T110" i="48"/>
  <c r="S110" i="48"/>
  <c r="R110" i="48"/>
  <c r="Q110" i="48"/>
  <c r="C110" i="48"/>
  <c r="AI109" i="48"/>
  <c r="AH109" i="48"/>
  <c r="AI108" i="48"/>
  <c r="AH108" i="48"/>
  <c r="AI107" i="48"/>
  <c r="AH107" i="48"/>
  <c r="AI106" i="48"/>
  <c r="AH106" i="48"/>
  <c r="AI105" i="48"/>
  <c r="AH105" i="48"/>
  <c r="AI104" i="48"/>
  <c r="AH104" i="48"/>
  <c r="AI103" i="48"/>
  <c r="AH103" i="48"/>
  <c r="AI102" i="48"/>
  <c r="AH102" i="48"/>
  <c r="AI101" i="48"/>
  <c r="AH101" i="48"/>
  <c r="AF99" i="48"/>
  <c r="AE99" i="48"/>
  <c r="AD99" i="48"/>
  <c r="AC99" i="48"/>
  <c r="AB99" i="48"/>
  <c r="AA99" i="48"/>
  <c r="Z99" i="48"/>
  <c r="Y99" i="48"/>
  <c r="X99" i="48"/>
  <c r="W99" i="48"/>
  <c r="V99" i="48"/>
  <c r="U99" i="48"/>
  <c r="T99" i="48"/>
  <c r="S99" i="48"/>
  <c r="R99" i="48"/>
  <c r="Q99" i="48"/>
  <c r="P99" i="48"/>
  <c r="O99" i="48"/>
  <c r="N99" i="48"/>
  <c r="M99" i="48"/>
  <c r="L99" i="48"/>
  <c r="K99" i="48"/>
  <c r="J99" i="48"/>
  <c r="I99" i="48"/>
  <c r="H99" i="48"/>
  <c r="G99" i="48"/>
  <c r="F99" i="48"/>
  <c r="E99" i="48"/>
  <c r="C99" i="48"/>
  <c r="AI98" i="48"/>
  <c r="AH98" i="48"/>
  <c r="AI97" i="48"/>
  <c r="AH97" i="48"/>
  <c r="AI96" i="48"/>
  <c r="AH96" i="48"/>
  <c r="AI95" i="48"/>
  <c r="AH95" i="48"/>
  <c r="AI94" i="48"/>
  <c r="AH94" i="48"/>
  <c r="AI93" i="48"/>
  <c r="AH93" i="48"/>
  <c r="AI90" i="48"/>
  <c r="AH90" i="48"/>
  <c r="AI88" i="48"/>
  <c r="AH88" i="48"/>
  <c r="AG88" i="48"/>
  <c r="AG91" i="48" s="1"/>
  <c r="AI87" i="48"/>
  <c r="AH87" i="48"/>
  <c r="AI86" i="48"/>
  <c r="AH86" i="48"/>
  <c r="AI85" i="48"/>
  <c r="AH85" i="48"/>
  <c r="AG84" i="48"/>
  <c r="AF84" i="48"/>
  <c r="AF100" i="48" s="1"/>
  <c r="AE84" i="48"/>
  <c r="AE100" i="48" s="1"/>
  <c r="AD84" i="48"/>
  <c r="AD100" i="48" s="1"/>
  <c r="AC84" i="48"/>
  <c r="AC100" i="48" s="1"/>
  <c r="AB84" i="48"/>
  <c r="AB100" i="48" s="1"/>
  <c r="AA84" i="48"/>
  <c r="Z84" i="48"/>
  <c r="Z100" i="48" s="1"/>
  <c r="Y84" i="48"/>
  <c r="Y100" i="48" s="1"/>
  <c r="X84" i="48"/>
  <c r="X100" i="48" s="1"/>
  <c r="W84" i="48"/>
  <c r="W100" i="48" s="1"/>
  <c r="V84" i="48"/>
  <c r="V100" i="48" s="1"/>
  <c r="U84" i="48"/>
  <c r="T5" i="48" s="1"/>
  <c r="T84" i="48"/>
  <c r="T100" i="48" s="1"/>
  <c r="S84" i="48"/>
  <c r="R5" i="48" s="1"/>
  <c r="R84" i="48"/>
  <c r="R100" i="48" s="1"/>
  <c r="Q84" i="48"/>
  <c r="Q100" i="48" s="1"/>
  <c r="P84" i="48"/>
  <c r="P100" i="48" s="1"/>
  <c r="O84" i="48"/>
  <c r="N84" i="48"/>
  <c r="N100" i="48" s="1"/>
  <c r="M84" i="48"/>
  <c r="M100" i="48" s="1"/>
  <c r="L84" i="48"/>
  <c r="L100" i="48" s="1"/>
  <c r="K84" i="48"/>
  <c r="J5" i="48" s="1"/>
  <c r="J84" i="48"/>
  <c r="J100" i="48" s="1"/>
  <c r="I84" i="48"/>
  <c r="H5" i="48" s="1"/>
  <c r="H84" i="48"/>
  <c r="H100" i="48" s="1"/>
  <c r="G84" i="48"/>
  <c r="F5" i="48" s="1"/>
  <c r="F84" i="48"/>
  <c r="F100" i="48" s="1"/>
  <c r="E84" i="48"/>
  <c r="D5" i="48" s="1"/>
  <c r="C84" i="48"/>
  <c r="C100" i="48" s="1"/>
  <c r="AF5" i="48"/>
  <c r="AI83" i="48"/>
  <c r="AH83" i="48"/>
  <c r="AI82" i="48"/>
  <c r="AH82" i="48"/>
  <c r="AI81" i="48"/>
  <c r="AH81" i="48"/>
  <c r="AI80" i="48"/>
  <c r="AH80" i="48"/>
  <c r="AI79" i="48"/>
  <c r="AH79" i="48"/>
  <c r="AI78" i="48"/>
  <c r="AH78" i="48"/>
  <c r="AI77" i="48"/>
  <c r="AH77" i="48"/>
  <c r="AI76" i="48"/>
  <c r="AH76" i="48"/>
  <c r="AI75" i="48"/>
  <c r="AH75" i="48"/>
  <c r="AI74" i="48"/>
  <c r="AH74" i="48"/>
  <c r="AI73" i="48"/>
  <c r="AH73" i="48"/>
  <c r="AG72" i="48"/>
  <c r="AF72" i="48"/>
  <c r="AE72" i="48"/>
  <c r="AD72" i="48"/>
  <c r="AC72" i="48"/>
  <c r="AB72" i="48"/>
  <c r="AA72" i="48"/>
  <c r="Z72" i="48"/>
  <c r="Y72" i="48"/>
  <c r="X72" i="48"/>
  <c r="W72" i="48"/>
  <c r="V72" i="48"/>
  <c r="U72" i="48"/>
  <c r="T72" i="48"/>
  <c r="S72" i="48"/>
  <c r="R72" i="48"/>
  <c r="Q72" i="48"/>
  <c r="P72" i="48"/>
  <c r="O72" i="48"/>
  <c r="N72" i="48"/>
  <c r="M72" i="48"/>
  <c r="L72" i="48"/>
  <c r="AI71" i="48"/>
  <c r="AH71" i="48"/>
  <c r="AI70" i="48"/>
  <c r="AH70" i="48"/>
  <c r="AI69" i="48"/>
  <c r="AH69" i="48"/>
  <c r="AG68" i="48"/>
  <c r="AG89" i="48" s="1"/>
  <c r="AF68" i="48"/>
  <c r="AE68" i="48"/>
  <c r="AD68" i="48"/>
  <c r="AC68" i="48"/>
  <c r="AB68" i="48"/>
  <c r="AA68" i="48"/>
  <c r="Z68" i="48"/>
  <c r="Y68" i="48"/>
  <c r="X68" i="48"/>
  <c r="W68" i="48"/>
  <c r="V68" i="48"/>
  <c r="U68" i="48"/>
  <c r="T68" i="48"/>
  <c r="S68" i="48"/>
  <c r="R68" i="48"/>
  <c r="Q68" i="48"/>
  <c r="P68" i="48"/>
  <c r="O68" i="48"/>
  <c r="N68" i="48"/>
  <c r="M68" i="48"/>
  <c r="L68" i="48"/>
  <c r="K68" i="48"/>
  <c r="J68" i="48"/>
  <c r="I68" i="48"/>
  <c r="H68" i="48"/>
  <c r="G68" i="48"/>
  <c r="F68" i="48"/>
  <c r="E68" i="48"/>
  <c r="AI67" i="48"/>
  <c r="AH67" i="48"/>
  <c r="AG67" i="48"/>
  <c r="AI66" i="48"/>
  <c r="AH66" i="48"/>
  <c r="AI65" i="48"/>
  <c r="AH65" i="48"/>
  <c r="AI64" i="48"/>
  <c r="AH64" i="48"/>
  <c r="AI63" i="48"/>
  <c r="AH63" i="48"/>
  <c r="AI62" i="48"/>
  <c r="AH62" i="48"/>
  <c r="AI61" i="48"/>
  <c r="AH61" i="48"/>
  <c r="AI60" i="48"/>
  <c r="AH60" i="48"/>
  <c r="AI59" i="48"/>
  <c r="AH59" i="48"/>
  <c r="AI58" i="48"/>
  <c r="AH58" i="48"/>
  <c r="AI57" i="48"/>
  <c r="AH57" i="48"/>
  <c r="AI56" i="48"/>
  <c r="AH56" i="48"/>
  <c r="AI55" i="48"/>
  <c r="AH55" i="48"/>
  <c r="AG54" i="48"/>
  <c r="AF54" i="48"/>
  <c r="AE54" i="48"/>
  <c r="AD54" i="48"/>
  <c r="AC54" i="48"/>
  <c r="AB54" i="48"/>
  <c r="AA54" i="48"/>
  <c r="Z54" i="48"/>
  <c r="Y54" i="48"/>
  <c r="X54" i="48"/>
  <c r="W54" i="48"/>
  <c r="V54" i="48"/>
  <c r="U54" i="48"/>
  <c r="T54" i="48"/>
  <c r="S54" i="48"/>
  <c r="R54" i="48"/>
  <c r="Q54" i="48"/>
  <c r="P54" i="48"/>
  <c r="O54" i="48"/>
  <c r="N54" i="48"/>
  <c r="M54" i="48"/>
  <c r="L54" i="48"/>
  <c r="K54" i="48"/>
  <c r="J54" i="48"/>
  <c r="I54" i="48"/>
  <c r="H54" i="48"/>
  <c r="G54" i="48"/>
  <c r="F54" i="48"/>
  <c r="E54" i="48"/>
  <c r="AI53" i="48"/>
  <c r="AH53" i="48"/>
  <c r="AI52" i="48"/>
  <c r="AH52" i="48"/>
  <c r="AI51" i="48"/>
  <c r="AH51" i="48"/>
  <c r="AG50" i="48"/>
  <c r="AF50" i="48"/>
  <c r="AE50" i="48"/>
  <c r="AD50" i="48"/>
  <c r="AC50" i="48"/>
  <c r="AB50" i="48"/>
  <c r="AA50" i="48"/>
  <c r="Z50" i="48"/>
  <c r="Y50" i="48"/>
  <c r="X50" i="48"/>
  <c r="W50" i="48"/>
  <c r="V50" i="48"/>
  <c r="U50" i="48"/>
  <c r="T50" i="48"/>
  <c r="S50" i="48"/>
  <c r="R50" i="48"/>
  <c r="Q50" i="48"/>
  <c r="P50" i="48"/>
  <c r="O50" i="48"/>
  <c r="N50" i="48"/>
  <c r="M50" i="48"/>
  <c r="L50" i="48"/>
  <c r="K50" i="48"/>
  <c r="J50" i="48"/>
  <c r="I50" i="48"/>
  <c r="H50" i="48"/>
  <c r="G50" i="48"/>
  <c r="F50" i="48"/>
  <c r="E50" i="48"/>
  <c r="AI48" i="48"/>
  <c r="AH48" i="48"/>
  <c r="AI47" i="48"/>
  <c r="AH47" i="48"/>
  <c r="AI46" i="48"/>
  <c r="AH46" i="48"/>
  <c r="AI45" i="48"/>
  <c r="AH45" i="48"/>
  <c r="AI44" i="48"/>
  <c r="AH44" i="48"/>
  <c r="AI43" i="48"/>
  <c r="AH43" i="48"/>
  <c r="AI42" i="48"/>
  <c r="AH42" i="48"/>
  <c r="AI41" i="48"/>
  <c r="AH41" i="48"/>
  <c r="AI40" i="48"/>
  <c r="AH40" i="48"/>
  <c r="AI39" i="48"/>
  <c r="AH39" i="48"/>
  <c r="AI38" i="48"/>
  <c r="AH38" i="48"/>
  <c r="AI37" i="48"/>
  <c r="AH37" i="48"/>
  <c r="AI36" i="48"/>
  <c r="AH36" i="48"/>
  <c r="AI35" i="48"/>
  <c r="AH35" i="48"/>
  <c r="AI34" i="48"/>
  <c r="AH34" i="48"/>
  <c r="AI33" i="48"/>
  <c r="AH33" i="48"/>
  <c r="AI32" i="48"/>
  <c r="AH32" i="48"/>
  <c r="AI31" i="48"/>
  <c r="AH31" i="48"/>
  <c r="AI30" i="48"/>
  <c r="AH30" i="48"/>
  <c r="AI29" i="48"/>
  <c r="AH29" i="48"/>
  <c r="AI28" i="48"/>
  <c r="AH28" i="48"/>
  <c r="AI27" i="48"/>
  <c r="AH27" i="48"/>
  <c r="AI26" i="48"/>
  <c r="AH26" i="48"/>
  <c r="AI25" i="48"/>
  <c r="AH25" i="48"/>
  <c r="AI24" i="48"/>
  <c r="AH24" i="48"/>
  <c r="AI23" i="48"/>
  <c r="AH23" i="48"/>
  <c r="AI22" i="48"/>
  <c r="AH22" i="48"/>
  <c r="AI21" i="48"/>
  <c r="AH21" i="48"/>
  <c r="AI20" i="48"/>
  <c r="AH20" i="48"/>
  <c r="AI19" i="48"/>
  <c r="AH19" i="48"/>
  <c r="AI18" i="48"/>
  <c r="AH18" i="48"/>
  <c r="AI17" i="48"/>
  <c r="AH17" i="48"/>
  <c r="AI16" i="48"/>
  <c r="AH16" i="48"/>
  <c r="AI15" i="48"/>
  <c r="AH15" i="48"/>
  <c r="AI14" i="48"/>
  <c r="AH14" i="48"/>
  <c r="AI13" i="48"/>
  <c r="AH13" i="48"/>
  <c r="AI12" i="48"/>
  <c r="AH12" i="48"/>
  <c r="AI11" i="48"/>
  <c r="AH11" i="48"/>
  <c r="AG4" i="48"/>
  <c r="K4" i="48"/>
  <c r="E4" i="48"/>
  <c r="H4" i="48" s="1"/>
  <c r="B4" i="48"/>
  <c r="S246" i="48" s="1"/>
  <c r="AG2" i="48"/>
  <c r="AE5" i="48" l="1"/>
  <c r="AF89" i="48"/>
  <c r="AF91" i="48" s="1"/>
  <c r="AF92" i="48" s="1"/>
  <c r="AD5" i="48"/>
  <c r="AE89" i="48"/>
  <c r="AE91" i="48" s="1"/>
  <c r="AE92" i="48" s="1"/>
  <c r="AD89" i="48"/>
  <c r="AD91" i="48" s="1"/>
  <c r="AD92" i="48" s="1"/>
  <c r="AB5" i="48"/>
  <c r="AC89" i="48"/>
  <c r="AC91" i="48" s="1"/>
  <c r="AC92" i="48" s="1"/>
  <c r="AA5" i="48"/>
  <c r="AB89" i="48"/>
  <c r="AB91" i="48" s="1"/>
  <c r="AB92" i="48" s="1"/>
  <c r="AA89" i="48"/>
  <c r="AA91" i="48" s="1"/>
  <c r="AA92" i="48" s="1"/>
  <c r="Y5" i="48"/>
  <c r="Z89" i="48"/>
  <c r="Z91" i="48" s="1"/>
  <c r="Z92" i="48" s="1"/>
  <c r="X5" i="48"/>
  <c r="Y89" i="48"/>
  <c r="Y91" i="48" s="1"/>
  <c r="Y92" i="48" s="1"/>
  <c r="W5" i="48"/>
  <c r="Z5" i="48"/>
  <c r="AA100" i="48"/>
  <c r="X89" i="48"/>
  <c r="X91" i="48" s="1"/>
  <c r="X92" i="48" s="1"/>
  <c r="V5" i="48"/>
  <c r="W89" i="48"/>
  <c r="W91" i="48" s="1"/>
  <c r="W92" i="48" s="1"/>
  <c r="V89" i="48"/>
  <c r="V91" i="48" s="1"/>
  <c r="V92" i="48" s="1"/>
  <c r="U100" i="48"/>
  <c r="U89" i="48"/>
  <c r="U91" i="48" s="1"/>
  <c r="U92" i="48" s="1"/>
  <c r="S5" i="48"/>
  <c r="T89" i="48"/>
  <c r="T91" i="48" s="1"/>
  <c r="T92" i="48" s="1"/>
  <c r="S100" i="48"/>
  <c r="S89" i="48"/>
  <c r="S91" i="48" s="1"/>
  <c r="S92" i="48" s="1"/>
  <c r="R89" i="48"/>
  <c r="R91" i="48" s="1"/>
  <c r="R92" i="48" s="1"/>
  <c r="Q5" i="48"/>
  <c r="P5" i="48"/>
  <c r="Q89" i="48"/>
  <c r="Q91" i="48" s="1"/>
  <c r="Q92" i="48" s="1"/>
  <c r="O5" i="48"/>
  <c r="P89" i="48"/>
  <c r="P91" i="48" s="1"/>
  <c r="P92" i="48" s="1"/>
  <c r="O100" i="48"/>
  <c r="N5" i="48"/>
  <c r="N89" i="48"/>
  <c r="N91" i="48" s="1"/>
  <c r="N92" i="48" s="1"/>
  <c r="L5" i="48"/>
  <c r="M89" i="48"/>
  <c r="M91" i="48" s="1"/>
  <c r="K5" i="48"/>
  <c r="L89" i="48"/>
  <c r="L91" i="48" s="1"/>
  <c r="AD249" i="48" s="1"/>
  <c r="K100" i="48"/>
  <c r="K89" i="48"/>
  <c r="K91" i="48" s="1"/>
  <c r="I5" i="48"/>
  <c r="J89" i="48"/>
  <c r="J91" i="48" s="1"/>
  <c r="O89" i="48"/>
  <c r="O91" i="48" s="1"/>
  <c r="O92" i="48" s="1"/>
  <c r="I100" i="48"/>
  <c r="AH54" i="48"/>
  <c r="I89" i="48"/>
  <c r="I91" i="48" s="1"/>
  <c r="G5" i="48"/>
  <c r="AI68" i="48"/>
  <c r="H89" i="48"/>
  <c r="H91" i="48" s="1"/>
  <c r="G100" i="48"/>
  <c r="G89" i="48"/>
  <c r="G91" i="48" s="1"/>
  <c r="G7" i="48" s="1"/>
  <c r="F89" i="48"/>
  <c r="F91" i="48" s="1"/>
  <c r="F7" i="48" s="1"/>
  <c r="E100" i="48"/>
  <c r="AH68" i="48"/>
  <c r="E89" i="48"/>
  <c r="E91" i="48" s="1"/>
  <c r="W249" i="48" s="1"/>
  <c r="D89" i="48"/>
  <c r="D91" i="48" s="1"/>
  <c r="C5" i="48"/>
  <c r="AI72" i="48"/>
  <c r="AH72" i="48"/>
  <c r="AI99" i="48"/>
  <c r="B5" i="48"/>
  <c r="C89" i="48"/>
  <c r="C91" i="48" s="1"/>
  <c r="B110" i="48"/>
  <c r="B100" i="48"/>
  <c r="B89" i="48"/>
  <c r="B91" i="48" s="1"/>
  <c r="AH49" i="48"/>
  <c r="AJ249" i="48"/>
  <c r="Z7" i="48"/>
  <c r="AR249" i="48"/>
  <c r="Q7" i="48"/>
  <c r="AI249" i="48"/>
  <c r="Y7" i="48"/>
  <c r="AA7" i="48"/>
  <c r="AS249" i="48"/>
  <c r="AB7" i="48"/>
  <c r="AT249" i="48"/>
  <c r="V7" i="48"/>
  <c r="AN249" i="48"/>
  <c r="AE7" i="48"/>
  <c r="F229" i="48"/>
  <c r="E235" i="48"/>
  <c r="J232" i="48"/>
  <c r="K232" i="48" s="1"/>
  <c r="L232" i="48" s="1"/>
  <c r="M232" i="48" s="1"/>
  <c r="N232" i="48" s="1"/>
  <c r="O232" i="48" s="1"/>
  <c r="P232" i="48" s="1"/>
  <c r="D246" i="48"/>
  <c r="AI50" i="48"/>
  <c r="AI54" i="48"/>
  <c r="AH99" i="48"/>
  <c r="E230" i="48"/>
  <c r="F230" i="48" s="1"/>
  <c r="G230" i="48" s="1"/>
  <c r="H230" i="48" s="1"/>
  <c r="I230" i="48" s="1"/>
  <c r="J230" i="48" s="1"/>
  <c r="K230" i="48" s="1"/>
  <c r="L230" i="48" s="1"/>
  <c r="M230" i="48" s="1"/>
  <c r="N230" i="48" s="1"/>
  <c r="O230" i="48" s="1"/>
  <c r="P230" i="48" s="1"/>
  <c r="E234" i="48"/>
  <c r="AH50" i="48"/>
  <c r="AG3" i="48"/>
  <c r="AG6" i="48" s="1"/>
  <c r="AH84" i="48"/>
  <c r="E5" i="48"/>
  <c r="M5" i="48"/>
  <c r="U5" i="48"/>
  <c r="AC5" i="48"/>
  <c r="AI84" i="48"/>
  <c r="AX249" i="48" l="1"/>
  <c r="AF7" i="48"/>
  <c r="AW249" i="48"/>
  <c r="AV249" i="48"/>
  <c r="AD7" i="48"/>
  <c r="AU249" i="48"/>
  <c r="AC7" i="48"/>
  <c r="AQ249" i="48"/>
  <c r="AL249" i="48"/>
  <c r="T7" i="48"/>
  <c r="AO249" i="48"/>
  <c r="X7" i="48"/>
  <c r="AP249" i="48"/>
  <c r="W7" i="48"/>
  <c r="AM249" i="48"/>
  <c r="U7" i="48"/>
  <c r="AK249" i="48"/>
  <c r="S7" i="48"/>
  <c r="R7" i="48"/>
  <c r="AH249" i="48"/>
  <c r="P7" i="48"/>
  <c r="AG249" i="48"/>
  <c r="O7" i="48"/>
  <c r="N7" i="48"/>
  <c r="AF249" i="48"/>
  <c r="AE249" i="48"/>
  <c r="M92" i="48"/>
  <c r="M7" i="48"/>
  <c r="L7" i="48"/>
  <c r="U249" i="48"/>
  <c r="C7" i="48"/>
  <c r="AC249" i="48"/>
  <c r="K7" i="48"/>
  <c r="AB249" i="48"/>
  <c r="J7" i="48"/>
  <c r="Z249" i="48"/>
  <c r="D7" i="48"/>
  <c r="V249" i="48"/>
  <c r="X249" i="48"/>
  <c r="AA249" i="48"/>
  <c r="I7" i="48"/>
  <c r="H7" i="48"/>
  <c r="B244" i="48"/>
  <c r="Y249" i="48"/>
  <c r="C244" i="48"/>
  <c r="K6" i="48" s="1"/>
  <c r="E7" i="48"/>
  <c r="AI89" i="48"/>
  <c r="AH89" i="48"/>
  <c r="AI91" i="48"/>
  <c r="AH91" i="48"/>
  <c r="B7" i="48"/>
  <c r="T249" i="48"/>
  <c r="D270" i="48"/>
  <c r="F234" i="48"/>
  <c r="E110" i="48"/>
  <c r="AI100" i="48"/>
  <c r="AH100" i="48"/>
  <c r="G229" i="48"/>
  <c r="F110" i="48"/>
  <c r="F235" i="48"/>
  <c r="A7" i="48" l="1"/>
  <c r="E270" i="48"/>
  <c r="G234" i="48"/>
  <c r="H229" i="48"/>
  <c r="G110" i="48"/>
  <c r="G235" i="48"/>
  <c r="AI92" i="48"/>
  <c r="AH92" i="48"/>
  <c r="I229" i="48" l="1"/>
  <c r="F270" i="48"/>
  <c r="H234" i="48"/>
  <c r="H235" i="48" s="1"/>
  <c r="G270" i="48" l="1"/>
  <c r="I234" i="48"/>
  <c r="H110" i="48"/>
  <c r="I110" i="48"/>
  <c r="J229" i="48"/>
  <c r="K229" i="48" l="1"/>
  <c r="H270" i="48"/>
  <c r="J234" i="48"/>
  <c r="K234" i="48" l="1"/>
  <c r="I270" i="48"/>
  <c r="K110" i="48"/>
  <c r="L229" i="48"/>
  <c r="J110" i="48"/>
  <c r="M229" i="48" l="1"/>
  <c r="J270" i="48"/>
  <c r="L234" i="48"/>
  <c r="K270" i="48" l="1"/>
  <c r="M234" i="48"/>
  <c r="L110" i="48"/>
  <c r="N229" i="48"/>
  <c r="M110" i="48"/>
  <c r="O229" i="48" l="1"/>
  <c r="L270" i="48"/>
  <c r="N234" i="48"/>
  <c r="M270" i="48" l="1"/>
  <c r="O234" i="48"/>
  <c r="N110" i="48"/>
  <c r="P229" i="48"/>
  <c r="O110" i="48"/>
  <c r="AI110" i="48" l="1"/>
  <c r="AH110" i="48"/>
  <c r="N270" i="48"/>
  <c r="P234" i="48"/>
  <c r="O270" i="48" s="1"/>
  <c r="AF113" i="47" l="1"/>
  <c r="AF49" i="47"/>
  <c r="AF50" i="47"/>
  <c r="AF54" i="47"/>
  <c r="AF68" i="47"/>
  <c r="AF72" i="47"/>
  <c r="AF84" i="47"/>
  <c r="AF100" i="47" s="1"/>
  <c r="AF99" i="47"/>
  <c r="AF110" i="47"/>
  <c r="AE113" i="47"/>
  <c r="AE49" i="47"/>
  <c r="AE50" i="47"/>
  <c r="AE54" i="47"/>
  <c r="AE68" i="47"/>
  <c r="AE72" i="47"/>
  <c r="AE84" i="47"/>
  <c r="AE100" i="47" s="1"/>
  <c r="AE99" i="47"/>
  <c r="AD113" i="47"/>
  <c r="AD49" i="47"/>
  <c r="AF89" i="47" l="1"/>
  <c r="AF91" i="47" s="1"/>
  <c r="AF92" i="47" s="1"/>
  <c r="AE89" i="47"/>
  <c r="AE91" i="47" s="1"/>
  <c r="AE92" i="47" s="1"/>
  <c r="AC113" i="47" l="1"/>
  <c r="AC49" i="47" l="1"/>
  <c r="AB113" i="47"/>
  <c r="AB49" i="47"/>
  <c r="AC114" i="47"/>
  <c r="AA89" i="47" l="1"/>
  <c r="O50" i="47" l="1"/>
  <c r="P50" i="47"/>
  <c r="Q50" i="47"/>
  <c r="R50" i="47"/>
  <c r="R49" i="47"/>
  <c r="Q49" i="47" l="1"/>
  <c r="P49" i="47"/>
  <c r="O49" i="47" l="1"/>
  <c r="N49" i="47"/>
  <c r="L92" i="47" l="1"/>
  <c r="D100" i="47"/>
  <c r="E100" i="47"/>
  <c r="F100" i="47"/>
  <c r="G100" i="47"/>
  <c r="H100" i="47"/>
  <c r="I100" i="47"/>
  <c r="J100" i="47"/>
  <c r="K100" i="47"/>
  <c r="L100" i="47"/>
  <c r="M100" i="47"/>
  <c r="B100" i="47"/>
  <c r="C100" i="47"/>
  <c r="D92" i="47"/>
  <c r="E92" i="47"/>
  <c r="F92" i="47"/>
  <c r="G92" i="47"/>
  <c r="H92" i="47"/>
  <c r="I92" i="47"/>
  <c r="J92" i="47"/>
  <c r="K92" i="47"/>
  <c r="B92" i="47"/>
  <c r="C92" i="47"/>
  <c r="D110" i="47"/>
  <c r="E110" i="47"/>
  <c r="F110" i="47"/>
  <c r="G110" i="47"/>
  <c r="H110" i="47"/>
  <c r="I110" i="47"/>
  <c r="J110" i="47"/>
  <c r="K110" i="47"/>
  <c r="K50" i="47"/>
  <c r="K54" i="47"/>
  <c r="K68" i="47"/>
  <c r="K84" i="47"/>
  <c r="K99" i="47"/>
  <c r="AF274" i="47"/>
  <c r="AE274" i="47"/>
  <c r="AD274" i="47"/>
  <c r="AC274" i="47"/>
  <c r="AB274" i="47"/>
  <c r="AA274" i="47"/>
  <c r="Z274" i="47"/>
  <c r="Y274" i="47"/>
  <c r="X274" i="47"/>
  <c r="W274" i="47"/>
  <c r="V274" i="47"/>
  <c r="U274" i="47"/>
  <c r="T274" i="47"/>
  <c r="S274" i="47"/>
  <c r="R274" i="47"/>
  <c r="Q274" i="47"/>
  <c r="P274" i="47"/>
  <c r="O274" i="47"/>
  <c r="N274" i="47"/>
  <c r="M274" i="47"/>
  <c r="L274" i="47"/>
  <c r="K274" i="47"/>
  <c r="J274" i="47"/>
  <c r="I274" i="47"/>
  <c r="H274" i="47"/>
  <c r="G274" i="47"/>
  <c r="F274" i="47"/>
  <c r="E274" i="47"/>
  <c r="D274" i="47"/>
  <c r="C274" i="47"/>
  <c r="B274" i="47"/>
  <c r="A274" i="47"/>
  <c r="AF273" i="47"/>
  <c r="AE273" i="47"/>
  <c r="AD273" i="47"/>
  <c r="AC273" i="47"/>
  <c r="AB273" i="47"/>
  <c r="AA273" i="47"/>
  <c r="Z273" i="47"/>
  <c r="Y273" i="47"/>
  <c r="X273" i="47"/>
  <c r="W273" i="47"/>
  <c r="V273" i="47"/>
  <c r="U273" i="47"/>
  <c r="T273" i="47"/>
  <c r="S273" i="47"/>
  <c r="R273" i="47"/>
  <c r="Q273" i="47"/>
  <c r="P273" i="47"/>
  <c r="O273" i="47"/>
  <c r="N273" i="47"/>
  <c r="M273" i="47"/>
  <c r="L273" i="47"/>
  <c r="K273" i="47"/>
  <c r="J273" i="47"/>
  <c r="I273" i="47"/>
  <c r="H273" i="47"/>
  <c r="G273" i="47"/>
  <c r="F273" i="47"/>
  <c r="E273" i="47"/>
  <c r="D273" i="47"/>
  <c r="C273" i="47"/>
  <c r="B273" i="47"/>
  <c r="A273" i="47"/>
  <c r="AF272" i="47"/>
  <c r="AE272" i="47"/>
  <c r="AD272" i="47"/>
  <c r="AC272" i="47"/>
  <c r="AB272" i="47"/>
  <c r="AA272" i="47"/>
  <c r="Z272" i="47"/>
  <c r="Y272" i="47"/>
  <c r="X272" i="47"/>
  <c r="W272" i="47"/>
  <c r="V272" i="47"/>
  <c r="U272" i="47"/>
  <c r="T272" i="47"/>
  <c r="S272" i="47"/>
  <c r="R272" i="47"/>
  <c r="Q272" i="47"/>
  <c r="P272" i="47"/>
  <c r="O272" i="47"/>
  <c r="N272" i="47"/>
  <c r="M272" i="47"/>
  <c r="L272" i="47"/>
  <c r="K272" i="47"/>
  <c r="J272" i="47"/>
  <c r="I272" i="47"/>
  <c r="H272" i="47"/>
  <c r="G272" i="47"/>
  <c r="F272" i="47"/>
  <c r="E272" i="47"/>
  <c r="D272" i="47"/>
  <c r="C272" i="47"/>
  <c r="B272" i="47"/>
  <c r="A272" i="47"/>
  <c r="AF271" i="47"/>
  <c r="AE271" i="47"/>
  <c r="AD271" i="47"/>
  <c r="AC271" i="47"/>
  <c r="AB271" i="47"/>
  <c r="AA271" i="47"/>
  <c r="Z271" i="47"/>
  <c r="Y271" i="47"/>
  <c r="X271" i="47"/>
  <c r="W271" i="47"/>
  <c r="V271" i="47"/>
  <c r="U271" i="47"/>
  <c r="T271" i="47"/>
  <c r="S271" i="47"/>
  <c r="R271" i="47"/>
  <c r="Q271" i="47"/>
  <c r="P271" i="47"/>
  <c r="O271" i="47"/>
  <c r="N271" i="47"/>
  <c r="M271" i="47"/>
  <c r="L271" i="47"/>
  <c r="K271" i="47"/>
  <c r="J271" i="47"/>
  <c r="I271" i="47"/>
  <c r="H271" i="47"/>
  <c r="G271" i="47"/>
  <c r="F271" i="47"/>
  <c r="E271" i="47"/>
  <c r="D271" i="47"/>
  <c r="C271" i="47"/>
  <c r="B271" i="47"/>
  <c r="A271" i="47"/>
  <c r="AE270" i="47"/>
  <c r="AD270" i="47"/>
  <c r="AC270" i="47"/>
  <c r="AB270" i="47"/>
  <c r="AA270" i="47"/>
  <c r="Z270" i="47"/>
  <c r="Y270" i="47"/>
  <c r="X270" i="47"/>
  <c r="W270" i="47"/>
  <c r="V270" i="47"/>
  <c r="U270" i="47"/>
  <c r="T270" i="47"/>
  <c r="S270" i="47"/>
  <c r="R270" i="47"/>
  <c r="Q270" i="47"/>
  <c r="P270" i="47"/>
  <c r="B270" i="47"/>
  <c r="S245" i="47"/>
  <c r="AG235" i="47"/>
  <c r="AF235" i="47"/>
  <c r="AE235" i="47"/>
  <c r="AD235" i="47"/>
  <c r="AC235" i="47"/>
  <c r="AB235" i="47"/>
  <c r="AA235" i="47"/>
  <c r="Z235" i="47"/>
  <c r="Y235" i="47"/>
  <c r="X235" i="47"/>
  <c r="W235" i="47"/>
  <c r="V235" i="47"/>
  <c r="U235" i="47"/>
  <c r="T235" i="47"/>
  <c r="S235" i="47"/>
  <c r="R235" i="47"/>
  <c r="Q235" i="47"/>
  <c r="C235" i="47"/>
  <c r="D234" i="47"/>
  <c r="E234" i="47" s="1"/>
  <c r="B234" i="47"/>
  <c r="AF270" i="47" s="1"/>
  <c r="E233" i="47"/>
  <c r="F233" i="47" s="1"/>
  <c r="G233" i="47" s="1"/>
  <c r="H233" i="47" s="1"/>
  <c r="I233" i="47" s="1"/>
  <c r="J233" i="47" s="1"/>
  <c r="K233" i="47" s="1"/>
  <c r="L233" i="47" s="1"/>
  <c r="M233" i="47" s="1"/>
  <c r="N233" i="47" s="1"/>
  <c r="O233" i="47" s="1"/>
  <c r="P233" i="47" s="1"/>
  <c r="D233" i="47"/>
  <c r="B233" i="47"/>
  <c r="E232" i="47"/>
  <c r="F232" i="47" s="1"/>
  <c r="G232" i="47" s="1"/>
  <c r="H232" i="47" s="1"/>
  <c r="I232" i="47" s="1"/>
  <c r="D232" i="47"/>
  <c r="B232" i="47"/>
  <c r="F231" i="47"/>
  <c r="G231" i="47" s="1"/>
  <c r="H231" i="47" s="1"/>
  <c r="E231" i="47"/>
  <c r="D231" i="47"/>
  <c r="B231" i="47"/>
  <c r="D230" i="47"/>
  <c r="D235" i="47" s="1"/>
  <c r="B230" i="47"/>
  <c r="E229" i="47"/>
  <c r="F229" i="47" s="1"/>
  <c r="D229" i="47"/>
  <c r="B229" i="47"/>
  <c r="AG227" i="47"/>
  <c r="AF227" i="47"/>
  <c r="AE227" i="47"/>
  <c r="AD227" i="47"/>
  <c r="AC227" i="47"/>
  <c r="AB227" i="47"/>
  <c r="AA227" i="47"/>
  <c r="Z227" i="47"/>
  <c r="Y227" i="47"/>
  <c r="X227" i="47"/>
  <c r="W227" i="47"/>
  <c r="V227" i="47"/>
  <c r="U227" i="47"/>
  <c r="T227" i="47"/>
  <c r="S227" i="47"/>
  <c r="R227" i="47"/>
  <c r="Q227" i="47"/>
  <c r="P227" i="47"/>
  <c r="O227" i="47"/>
  <c r="N227" i="47"/>
  <c r="M227" i="47"/>
  <c r="L227" i="47"/>
  <c r="K227" i="47"/>
  <c r="J227" i="47"/>
  <c r="I227" i="47"/>
  <c r="H227" i="47"/>
  <c r="G227" i="47"/>
  <c r="F227" i="47"/>
  <c r="E227" i="47"/>
  <c r="D227" i="47"/>
  <c r="C227" i="47"/>
  <c r="B227" i="47"/>
  <c r="AI120" i="47"/>
  <c r="AH120" i="47"/>
  <c r="AI119" i="47"/>
  <c r="AH119" i="47"/>
  <c r="AI118" i="47"/>
  <c r="AH118" i="47"/>
  <c r="AI117" i="47"/>
  <c r="AH117" i="47"/>
  <c r="AI116" i="47"/>
  <c r="AH116" i="47"/>
  <c r="AI115" i="47"/>
  <c r="AH115" i="47"/>
  <c r="AI114" i="47"/>
  <c r="AH114" i="47"/>
  <c r="AI113" i="47"/>
  <c r="AH113" i="47"/>
  <c r="AI112" i="47"/>
  <c r="AH112" i="47"/>
  <c r="AI111" i="47"/>
  <c r="AH111" i="47"/>
  <c r="AE110" i="47"/>
  <c r="AC110" i="47"/>
  <c r="AB110" i="47"/>
  <c r="AA110" i="47"/>
  <c r="Z110" i="47"/>
  <c r="Y110" i="47"/>
  <c r="X110" i="47"/>
  <c r="W110" i="47"/>
  <c r="V110" i="47"/>
  <c r="U110" i="47"/>
  <c r="T110" i="47"/>
  <c r="S110" i="47"/>
  <c r="R110" i="47"/>
  <c r="Q110" i="47"/>
  <c r="C110" i="47"/>
  <c r="AI109" i="47"/>
  <c r="AH109" i="47"/>
  <c r="AI108" i="47"/>
  <c r="AH108" i="47"/>
  <c r="AI107" i="47"/>
  <c r="AH107" i="47"/>
  <c r="AI106" i="47"/>
  <c r="AH106" i="47"/>
  <c r="AI105" i="47"/>
  <c r="AH105" i="47"/>
  <c r="AI104" i="47"/>
  <c r="AH104" i="47"/>
  <c r="AI103" i="47"/>
  <c r="AH103" i="47"/>
  <c r="AI102" i="47"/>
  <c r="AH102" i="47"/>
  <c r="AI101" i="47"/>
  <c r="AH101" i="47"/>
  <c r="AD99" i="47"/>
  <c r="AC99" i="47"/>
  <c r="AB99" i="47"/>
  <c r="AA99" i="47"/>
  <c r="Z99" i="47"/>
  <c r="Y99" i="47"/>
  <c r="X99" i="47"/>
  <c r="W99" i="47"/>
  <c r="V99" i="47"/>
  <c r="U99" i="47"/>
  <c r="T99" i="47"/>
  <c r="S99" i="47"/>
  <c r="R99" i="47"/>
  <c r="Q99" i="47"/>
  <c r="P99" i="47"/>
  <c r="O99" i="47"/>
  <c r="N99" i="47"/>
  <c r="M99" i="47"/>
  <c r="L99" i="47"/>
  <c r="J99" i="47"/>
  <c r="I99" i="47"/>
  <c r="H99" i="47"/>
  <c r="G99" i="47"/>
  <c r="F99" i="47"/>
  <c r="E99" i="47"/>
  <c r="D99" i="47"/>
  <c r="C99" i="47"/>
  <c r="AI98" i="47"/>
  <c r="AH98" i="47"/>
  <c r="AI97" i="47"/>
  <c r="AH97" i="47"/>
  <c r="AI96" i="47"/>
  <c r="AH96" i="47"/>
  <c r="AI95" i="47"/>
  <c r="AH95" i="47"/>
  <c r="AI94" i="47"/>
  <c r="AH94" i="47"/>
  <c r="AI93" i="47"/>
  <c r="AH93" i="47"/>
  <c r="AI90" i="47"/>
  <c r="AH90" i="47"/>
  <c r="AI88" i="47"/>
  <c r="AH88" i="47"/>
  <c r="AG88" i="47"/>
  <c r="AG91" i="47" s="1"/>
  <c r="AI87" i="47"/>
  <c r="AH87" i="47"/>
  <c r="AI86" i="47"/>
  <c r="AH86" i="47"/>
  <c r="AI85" i="47"/>
  <c r="AH85" i="47"/>
  <c r="AG84" i="47"/>
  <c r="AD5" i="47"/>
  <c r="AD84" i="47"/>
  <c r="AD100" i="47" s="1"/>
  <c r="AC84" i="47"/>
  <c r="AC100" i="47" s="1"/>
  <c r="AB84" i="47"/>
  <c r="AB100" i="47" s="1"/>
  <c r="AA84" i="47"/>
  <c r="AA100" i="47" s="1"/>
  <c r="Z84" i="47"/>
  <c r="Y5" i="47" s="1"/>
  <c r="Y84" i="47"/>
  <c r="X5" i="47" s="1"/>
  <c r="X84" i="47"/>
  <c r="X100" i="47" s="1"/>
  <c r="W84" i="47"/>
  <c r="V5" i="47" s="1"/>
  <c r="V84" i="47"/>
  <c r="V100" i="47" s="1"/>
  <c r="U84" i="47"/>
  <c r="U100" i="47" s="1"/>
  <c r="T84" i="47"/>
  <c r="T100" i="47" s="1"/>
  <c r="S84" i="47"/>
  <c r="S100" i="47" s="1"/>
  <c r="R84" i="47"/>
  <c r="R100" i="47" s="1"/>
  <c r="Q84" i="47"/>
  <c r="P5" i="47" s="1"/>
  <c r="P84" i="47"/>
  <c r="O5" i="47" s="1"/>
  <c r="O84" i="47"/>
  <c r="N5" i="47" s="1"/>
  <c r="N84" i="47"/>
  <c r="N100" i="47" s="1"/>
  <c r="M84" i="47"/>
  <c r="L84" i="47"/>
  <c r="J84" i="47"/>
  <c r="I84" i="47"/>
  <c r="H5" i="47" s="1"/>
  <c r="H84" i="47"/>
  <c r="G5" i="47" s="1"/>
  <c r="G84" i="47"/>
  <c r="F5" i="47" s="1"/>
  <c r="F84" i="47"/>
  <c r="E84" i="47"/>
  <c r="D84" i="47"/>
  <c r="C84" i="47"/>
  <c r="AI83" i="47"/>
  <c r="AH83" i="47"/>
  <c r="AI82" i="47"/>
  <c r="AH82" i="47"/>
  <c r="AI81" i="47"/>
  <c r="AH81" i="47"/>
  <c r="AI80" i="47"/>
  <c r="AH80" i="47"/>
  <c r="AI79" i="47"/>
  <c r="AH79" i="47"/>
  <c r="AI78" i="47"/>
  <c r="AH78" i="47"/>
  <c r="AI77" i="47"/>
  <c r="AH77" i="47"/>
  <c r="AI76" i="47"/>
  <c r="AH76" i="47"/>
  <c r="AI75" i="47"/>
  <c r="AH75" i="47"/>
  <c r="AI74" i="47"/>
  <c r="AH74" i="47"/>
  <c r="AI73" i="47"/>
  <c r="AH73" i="47"/>
  <c r="AG72" i="47"/>
  <c r="AD72" i="47"/>
  <c r="AC72" i="47"/>
  <c r="AB72" i="47"/>
  <c r="AA72" i="47"/>
  <c r="Z72" i="47"/>
  <c r="Y72" i="47"/>
  <c r="X72" i="47"/>
  <c r="W72" i="47"/>
  <c r="V72" i="47"/>
  <c r="U72" i="47"/>
  <c r="T72" i="47"/>
  <c r="S72" i="47"/>
  <c r="R72" i="47"/>
  <c r="Q72" i="47"/>
  <c r="P72" i="47"/>
  <c r="O72" i="47"/>
  <c r="N72" i="47"/>
  <c r="M72" i="47"/>
  <c r="L72" i="47"/>
  <c r="AI71" i="47"/>
  <c r="AH71" i="47"/>
  <c r="AI70" i="47"/>
  <c r="AH70" i="47"/>
  <c r="AI69" i="47"/>
  <c r="AH69" i="47"/>
  <c r="AD68" i="47"/>
  <c r="AC68" i="47"/>
  <c r="AB68" i="47"/>
  <c r="AA68" i="47"/>
  <c r="Z68" i="47"/>
  <c r="Y68" i="47"/>
  <c r="X68" i="47"/>
  <c r="W68" i="47"/>
  <c r="V68" i="47"/>
  <c r="U68" i="47"/>
  <c r="T68" i="47"/>
  <c r="S68" i="47"/>
  <c r="R68" i="47"/>
  <c r="Q68" i="47"/>
  <c r="P68" i="47"/>
  <c r="O68" i="47"/>
  <c r="N68" i="47"/>
  <c r="M68" i="47"/>
  <c r="L68" i="47"/>
  <c r="J68" i="47"/>
  <c r="I68" i="47"/>
  <c r="H68" i="47"/>
  <c r="G68" i="47"/>
  <c r="F68" i="47"/>
  <c r="E68" i="47"/>
  <c r="D68" i="47"/>
  <c r="C68" i="47"/>
  <c r="AI67" i="47"/>
  <c r="AH67" i="47"/>
  <c r="AG67" i="47"/>
  <c r="AG68" i="47" s="1"/>
  <c r="AG3" i="47" s="1"/>
  <c r="AG6" i="47" s="1"/>
  <c r="AI66" i="47"/>
  <c r="AH66" i="47"/>
  <c r="AI65" i="47"/>
  <c r="AH65" i="47"/>
  <c r="AI64" i="47"/>
  <c r="AH64" i="47"/>
  <c r="AI63" i="47"/>
  <c r="AH63" i="47"/>
  <c r="AI62" i="47"/>
  <c r="AH62" i="47"/>
  <c r="AI61" i="47"/>
  <c r="AH61" i="47"/>
  <c r="AI60" i="47"/>
  <c r="AH60" i="47"/>
  <c r="AI59" i="47"/>
  <c r="AH59" i="47"/>
  <c r="AI58" i="47"/>
  <c r="AH58" i="47"/>
  <c r="AI57" i="47"/>
  <c r="AH57" i="47"/>
  <c r="AI56" i="47"/>
  <c r="AH56" i="47"/>
  <c r="AI55" i="47"/>
  <c r="AH55" i="47"/>
  <c r="AG54" i="47"/>
  <c r="AD54" i="47"/>
  <c r="AC54" i="47"/>
  <c r="AB54" i="47"/>
  <c r="AA54" i="47"/>
  <c r="Z54" i="47"/>
  <c r="Y54" i="47"/>
  <c r="X54" i="47"/>
  <c r="W54" i="47"/>
  <c r="V54" i="47"/>
  <c r="U54" i="47"/>
  <c r="T54" i="47"/>
  <c r="S54" i="47"/>
  <c r="R54" i="47"/>
  <c r="Q54" i="47"/>
  <c r="P54" i="47"/>
  <c r="O54" i="47"/>
  <c r="N54" i="47"/>
  <c r="M54" i="47"/>
  <c r="L54" i="47"/>
  <c r="J54" i="47"/>
  <c r="I54" i="47"/>
  <c r="H54" i="47"/>
  <c r="G54" i="47"/>
  <c r="F54" i="47"/>
  <c r="E54" i="47"/>
  <c r="D54" i="47"/>
  <c r="C54" i="47"/>
  <c r="AI53" i="47"/>
  <c r="AH53" i="47"/>
  <c r="AI52" i="47"/>
  <c r="AH52" i="47"/>
  <c r="AI51" i="47"/>
  <c r="AH51" i="47"/>
  <c r="AG50" i="47"/>
  <c r="AG89" i="47" s="1"/>
  <c r="AD50" i="47"/>
  <c r="AC50" i="47"/>
  <c r="AB50" i="47"/>
  <c r="AA50" i="47"/>
  <c r="Z50" i="47"/>
  <c r="Y50" i="47"/>
  <c r="X50" i="47"/>
  <c r="W50" i="47"/>
  <c r="V50" i="47"/>
  <c r="U50" i="47"/>
  <c r="T50" i="47"/>
  <c r="S50" i="47"/>
  <c r="N50" i="47"/>
  <c r="M50" i="47"/>
  <c r="L50" i="47"/>
  <c r="J50" i="47"/>
  <c r="I50" i="47"/>
  <c r="H50" i="47"/>
  <c r="G50" i="47"/>
  <c r="F50" i="47"/>
  <c r="E50" i="47"/>
  <c r="D50" i="47"/>
  <c r="C50" i="47"/>
  <c r="AI49" i="47"/>
  <c r="AH49" i="47"/>
  <c r="AI48" i="47"/>
  <c r="AH48" i="47"/>
  <c r="AI47" i="47"/>
  <c r="AH47" i="47"/>
  <c r="AI46" i="47"/>
  <c r="AH46" i="47"/>
  <c r="AI45" i="47"/>
  <c r="AH45" i="47"/>
  <c r="AI44" i="47"/>
  <c r="AH44" i="47"/>
  <c r="AI43" i="47"/>
  <c r="AH43" i="47"/>
  <c r="AI42" i="47"/>
  <c r="AH42" i="47"/>
  <c r="AI41" i="47"/>
  <c r="AH41" i="47"/>
  <c r="AI40" i="47"/>
  <c r="AH40" i="47"/>
  <c r="AI39" i="47"/>
  <c r="AH39" i="47"/>
  <c r="AI38" i="47"/>
  <c r="AH38" i="47"/>
  <c r="AI37" i="47"/>
  <c r="AH37" i="47"/>
  <c r="AI36" i="47"/>
  <c r="AH36" i="47"/>
  <c r="AI35" i="47"/>
  <c r="AH35" i="47"/>
  <c r="AI34" i="47"/>
  <c r="AH34" i="47"/>
  <c r="AI33" i="47"/>
  <c r="AH33" i="47"/>
  <c r="AI32" i="47"/>
  <c r="AH32" i="47"/>
  <c r="AI31" i="47"/>
  <c r="AH31" i="47"/>
  <c r="AI30" i="47"/>
  <c r="AH30" i="47"/>
  <c r="AI29" i="47"/>
  <c r="AH29" i="47"/>
  <c r="AI28" i="47"/>
  <c r="AH28" i="47"/>
  <c r="AI27" i="47"/>
  <c r="AH27" i="47"/>
  <c r="AI26" i="47"/>
  <c r="AH26" i="47"/>
  <c r="AI25" i="47"/>
  <c r="AH25" i="47"/>
  <c r="AI24" i="47"/>
  <c r="AH24" i="47"/>
  <c r="AI23" i="47"/>
  <c r="AH23" i="47"/>
  <c r="AI22" i="47"/>
  <c r="AH22" i="47"/>
  <c r="AI21" i="47"/>
  <c r="AH21" i="47"/>
  <c r="AI20" i="47"/>
  <c r="AH20" i="47"/>
  <c r="AI19" i="47"/>
  <c r="AH19" i="47"/>
  <c r="AI18" i="47"/>
  <c r="AH18" i="47"/>
  <c r="AI17" i="47"/>
  <c r="AH17" i="47"/>
  <c r="AI16" i="47"/>
  <c r="AH16" i="47"/>
  <c r="AI15" i="47"/>
  <c r="AH15" i="47"/>
  <c r="AI14" i="47"/>
  <c r="AH14" i="47"/>
  <c r="AI13" i="47"/>
  <c r="AH13" i="47"/>
  <c r="AI12" i="47"/>
  <c r="AH12" i="47"/>
  <c r="AI11" i="47"/>
  <c r="AH11" i="47"/>
  <c r="AF5" i="47"/>
  <c r="AE5" i="47"/>
  <c r="J5" i="47"/>
  <c r="AG4" i="47"/>
  <c r="K4" i="47"/>
  <c r="E4" i="47"/>
  <c r="H4" i="47" s="1"/>
  <c r="B4" i="47"/>
  <c r="S246" i="47" s="1"/>
  <c r="AG2" i="47"/>
  <c r="AC50" i="46"/>
  <c r="AC54" i="46"/>
  <c r="AD89" i="47" l="1"/>
  <c r="AD91" i="47" s="1"/>
  <c r="AD7" i="47" s="1"/>
  <c r="AB5" i="47"/>
  <c r="AC89" i="47"/>
  <c r="AC91" i="47" s="1"/>
  <c r="AU249" i="47" s="1"/>
  <c r="AA5" i="47"/>
  <c r="AB89" i="47"/>
  <c r="AB91" i="47" s="1"/>
  <c r="AB92" i="47" s="1"/>
  <c r="Z5" i="47"/>
  <c r="AA91" i="47"/>
  <c r="AA92" i="47" s="1"/>
  <c r="Z100" i="47"/>
  <c r="Z89" i="47"/>
  <c r="Z91" i="47" s="1"/>
  <c r="Z92" i="47" s="1"/>
  <c r="Y100" i="47"/>
  <c r="Y89" i="47"/>
  <c r="Y91" i="47" s="1"/>
  <c r="Y92" i="47" s="1"/>
  <c r="W5" i="47"/>
  <c r="X89" i="47"/>
  <c r="X91" i="47" s="1"/>
  <c r="X92" i="47" s="1"/>
  <c r="W100" i="47"/>
  <c r="W89" i="47"/>
  <c r="W91" i="47" s="1"/>
  <c r="W92" i="47" s="1"/>
  <c r="V89" i="47"/>
  <c r="V91" i="47" s="1"/>
  <c r="V92" i="47" s="1"/>
  <c r="T5" i="47"/>
  <c r="U89" i="47"/>
  <c r="U91" i="47" s="1"/>
  <c r="U92" i="47" s="1"/>
  <c r="T89" i="47"/>
  <c r="T91" i="47" s="1"/>
  <c r="T92" i="47" s="1"/>
  <c r="S5" i="47"/>
  <c r="R5" i="47"/>
  <c r="S89" i="47"/>
  <c r="S91" i="47" s="1"/>
  <c r="S92" i="47" s="1"/>
  <c r="Q5" i="47"/>
  <c r="R89" i="47"/>
  <c r="R91" i="47" s="1"/>
  <c r="R92" i="47" s="1"/>
  <c r="Q100" i="47"/>
  <c r="Q89" i="47"/>
  <c r="Q91" i="47" s="1"/>
  <c r="Q92" i="47" s="1"/>
  <c r="P100" i="47"/>
  <c r="P89" i="47"/>
  <c r="P91" i="47" s="1"/>
  <c r="P92" i="47" s="1"/>
  <c r="O89" i="47"/>
  <c r="O91" i="47" s="1"/>
  <c r="O92" i="47" s="1"/>
  <c r="O100" i="47"/>
  <c r="AI72" i="47"/>
  <c r="N89" i="47"/>
  <c r="N91" i="47" s="1"/>
  <c r="N92" i="47" s="1"/>
  <c r="AI68" i="47"/>
  <c r="M89" i="47"/>
  <c r="M91" i="47" s="1"/>
  <c r="K5" i="47"/>
  <c r="L5" i="47"/>
  <c r="L89" i="47"/>
  <c r="L91" i="47" s="1"/>
  <c r="AD249" i="47" s="1"/>
  <c r="AH54" i="47"/>
  <c r="K89" i="47"/>
  <c r="K91" i="47" s="1"/>
  <c r="I5" i="47"/>
  <c r="J89" i="47"/>
  <c r="J91" i="47" s="1"/>
  <c r="H89" i="47"/>
  <c r="H91" i="47" s="1"/>
  <c r="AI99" i="47"/>
  <c r="D5" i="47"/>
  <c r="E89" i="47"/>
  <c r="E91" i="47" s="1"/>
  <c r="E7" i="47" s="1"/>
  <c r="C5" i="47"/>
  <c r="D89" i="47"/>
  <c r="D91" i="47" s="1"/>
  <c r="D7" i="47" s="1"/>
  <c r="I89" i="47"/>
  <c r="I91" i="47" s="1"/>
  <c r="I7" i="47" s="1"/>
  <c r="G89" i="47"/>
  <c r="G91" i="47" s="1"/>
  <c r="F89" i="47"/>
  <c r="F91" i="47" s="1"/>
  <c r="F7" i="47" s="1"/>
  <c r="AH99" i="47"/>
  <c r="AI84" i="47"/>
  <c r="B5" i="47"/>
  <c r="C89" i="47"/>
  <c r="C91" i="47" s="1"/>
  <c r="U249" i="47" s="1"/>
  <c r="D246" i="47"/>
  <c r="Y7" i="47"/>
  <c r="AQ249" i="47"/>
  <c r="J7" i="47"/>
  <c r="AB249" i="47"/>
  <c r="D270" i="47"/>
  <c r="F234" i="47"/>
  <c r="AI249" i="47"/>
  <c r="Q7" i="47"/>
  <c r="R7" i="47"/>
  <c r="AJ249" i="47"/>
  <c r="AA7" i="47"/>
  <c r="G229" i="47"/>
  <c r="N7" i="47"/>
  <c r="AF249" i="47"/>
  <c r="J232" i="47"/>
  <c r="K232" i="47" s="1"/>
  <c r="L232" i="47" s="1"/>
  <c r="M232" i="47" s="1"/>
  <c r="N232" i="47" s="1"/>
  <c r="O232" i="47" s="1"/>
  <c r="P232" i="47" s="1"/>
  <c r="AG249" i="47"/>
  <c r="O7" i="47"/>
  <c r="AO249" i="47"/>
  <c r="W7" i="47"/>
  <c r="AW249" i="47"/>
  <c r="AE7" i="47"/>
  <c r="Z249" i="47"/>
  <c r="H7" i="47"/>
  <c r="P7" i="47"/>
  <c r="AH249" i="47"/>
  <c r="AF7" i="47"/>
  <c r="AX249" i="47"/>
  <c r="AI100" i="47"/>
  <c r="C270" i="47"/>
  <c r="AI54" i="47"/>
  <c r="E230" i="47"/>
  <c r="AH50" i="47"/>
  <c r="E5" i="47"/>
  <c r="M5" i="47"/>
  <c r="U5" i="47"/>
  <c r="AC5" i="47"/>
  <c r="AH72" i="47"/>
  <c r="AH84" i="47"/>
  <c r="AH68" i="47"/>
  <c r="B235" i="47"/>
  <c r="AI50" i="47"/>
  <c r="AD92" i="47" l="1"/>
  <c r="AV249" i="47"/>
  <c r="AC92" i="47"/>
  <c r="AC7" i="47"/>
  <c r="AB7" i="47"/>
  <c r="AT249" i="47"/>
  <c r="AS249" i="47"/>
  <c r="AR249" i="47"/>
  <c r="Z7" i="47"/>
  <c r="T7" i="47"/>
  <c r="AM249" i="47"/>
  <c r="U7" i="47"/>
  <c r="AN249" i="47"/>
  <c r="V7" i="47"/>
  <c r="AL249" i="47"/>
  <c r="S7" i="47"/>
  <c r="AK249" i="47"/>
  <c r="AP249" i="47"/>
  <c r="X7" i="47"/>
  <c r="M7" i="47"/>
  <c r="M92" i="47"/>
  <c r="L7" i="47"/>
  <c r="AE249" i="47"/>
  <c r="W249" i="47"/>
  <c r="K7" i="47"/>
  <c r="AC249" i="47"/>
  <c r="V249" i="47"/>
  <c r="AA249" i="47"/>
  <c r="C244" i="47"/>
  <c r="AH100" i="47"/>
  <c r="Y249" i="47"/>
  <c r="G7" i="47"/>
  <c r="X249" i="47"/>
  <c r="AI89" i="47"/>
  <c r="B244" i="47"/>
  <c r="AH89" i="47"/>
  <c r="C7" i="47"/>
  <c r="G234" i="47"/>
  <c r="E270" i="47"/>
  <c r="B7" i="47"/>
  <c r="AI91" i="47"/>
  <c r="AH91" i="47"/>
  <c r="T249" i="47"/>
  <c r="E235" i="47"/>
  <c r="F230" i="47"/>
  <c r="H229" i="47"/>
  <c r="A7" i="47" l="1"/>
  <c r="K6" i="47"/>
  <c r="AI92" i="47"/>
  <c r="AH92" i="47"/>
  <c r="I229" i="47"/>
  <c r="G230" i="47"/>
  <c r="F235" i="47"/>
  <c r="F270" i="47"/>
  <c r="H234" i="47"/>
  <c r="J229" i="47" l="1"/>
  <c r="H230" i="47"/>
  <c r="G235" i="47"/>
  <c r="G270" i="47"/>
  <c r="I234" i="47"/>
  <c r="I230" i="47" l="1"/>
  <c r="H235" i="47"/>
  <c r="K229" i="47"/>
  <c r="H270" i="47"/>
  <c r="J234" i="47"/>
  <c r="L229" i="47" l="1"/>
  <c r="J230" i="47"/>
  <c r="K234" i="47"/>
  <c r="I270" i="47"/>
  <c r="J270" i="47" l="1"/>
  <c r="L234" i="47"/>
  <c r="K230" i="47"/>
  <c r="M229" i="47"/>
  <c r="L110" i="47"/>
  <c r="L230" i="47" l="1"/>
  <c r="M234" i="47"/>
  <c r="K270" i="47"/>
  <c r="N229" i="47"/>
  <c r="M110" i="47"/>
  <c r="O229" i="47" l="1"/>
  <c r="L270" i="47"/>
  <c r="N234" i="47"/>
  <c r="M230" i="47"/>
  <c r="O234" i="47" l="1"/>
  <c r="M270" i="47"/>
  <c r="N230" i="47"/>
  <c r="N110" i="47"/>
  <c r="P229" i="47"/>
  <c r="O110" i="47"/>
  <c r="AI110" i="47" l="1"/>
  <c r="AH110" i="47"/>
  <c r="O230" i="47"/>
  <c r="N270" i="47"/>
  <c r="P234" i="47"/>
  <c r="O270" i="47" s="1"/>
  <c r="P230" i="47" l="1"/>
  <c r="U49" i="46" l="1"/>
  <c r="T49" i="46" l="1"/>
  <c r="S49" i="46"/>
  <c r="R113" i="46"/>
  <c r="R49" i="46"/>
  <c r="Q68" i="46"/>
  <c r="R68" i="46"/>
  <c r="Q113" i="46"/>
  <c r="S68" i="46"/>
  <c r="Q49" i="46"/>
  <c r="P113" i="46"/>
  <c r="P49" i="46"/>
  <c r="O113" i="46"/>
  <c r="O49" i="46"/>
  <c r="N113" i="46"/>
  <c r="N49" i="46"/>
  <c r="M113" i="46" l="1"/>
  <c r="M49" i="46"/>
  <c r="AF274" i="46"/>
  <c r="AE274" i="46"/>
  <c r="AD274" i="46"/>
  <c r="AC274" i="46"/>
  <c r="AB274" i="46"/>
  <c r="AA274" i="46"/>
  <c r="Z274" i="46"/>
  <c r="Y274" i="46"/>
  <c r="X274" i="46"/>
  <c r="W274" i="46"/>
  <c r="V274" i="46"/>
  <c r="U274" i="46"/>
  <c r="T274" i="46"/>
  <c r="S274" i="46"/>
  <c r="R274" i="46"/>
  <c r="Q274" i="46"/>
  <c r="P274" i="46"/>
  <c r="O274" i="46"/>
  <c r="N274" i="46"/>
  <c r="M274" i="46"/>
  <c r="L274" i="46"/>
  <c r="K274" i="46"/>
  <c r="J274" i="46"/>
  <c r="I274" i="46"/>
  <c r="H274" i="46"/>
  <c r="G274" i="46"/>
  <c r="F274" i="46"/>
  <c r="E274" i="46"/>
  <c r="D274" i="46"/>
  <c r="C274" i="46"/>
  <c r="B274" i="46"/>
  <c r="A274" i="46"/>
  <c r="AF273" i="46"/>
  <c r="AE273" i="46"/>
  <c r="AD273" i="46"/>
  <c r="AC273" i="46"/>
  <c r="AB273" i="46"/>
  <c r="AA273" i="46"/>
  <c r="Z273" i="46"/>
  <c r="Y273" i="46"/>
  <c r="X273" i="46"/>
  <c r="W273" i="46"/>
  <c r="V273" i="46"/>
  <c r="U273" i="46"/>
  <c r="T273" i="46"/>
  <c r="S273" i="46"/>
  <c r="R273" i="46"/>
  <c r="Q273" i="46"/>
  <c r="P273" i="46"/>
  <c r="O273" i="46"/>
  <c r="N273" i="46"/>
  <c r="M273" i="46"/>
  <c r="L273" i="46"/>
  <c r="K273" i="46"/>
  <c r="J273" i="46"/>
  <c r="I273" i="46"/>
  <c r="H273" i="46"/>
  <c r="G273" i="46"/>
  <c r="F273" i="46"/>
  <c r="E273" i="46"/>
  <c r="D273" i="46"/>
  <c r="C273" i="46"/>
  <c r="B273" i="46"/>
  <c r="A273" i="46"/>
  <c r="AF272" i="46"/>
  <c r="AE272" i="46"/>
  <c r="AD272" i="46"/>
  <c r="AC272" i="46"/>
  <c r="AB272" i="46"/>
  <c r="AA272" i="46"/>
  <c r="Z272" i="46"/>
  <c r="Y272" i="46"/>
  <c r="X272" i="46"/>
  <c r="W272" i="46"/>
  <c r="V272" i="46"/>
  <c r="U272" i="46"/>
  <c r="T272" i="46"/>
  <c r="S272" i="46"/>
  <c r="R272" i="46"/>
  <c r="Q272" i="46"/>
  <c r="P272" i="46"/>
  <c r="O272" i="46"/>
  <c r="N272" i="46"/>
  <c r="M272" i="46"/>
  <c r="L272" i="46"/>
  <c r="K272" i="46"/>
  <c r="J272" i="46"/>
  <c r="I272" i="46"/>
  <c r="H272" i="46"/>
  <c r="G272" i="46"/>
  <c r="F272" i="46"/>
  <c r="E272" i="46"/>
  <c r="D272" i="46"/>
  <c r="C272" i="46"/>
  <c r="B272" i="46"/>
  <c r="A272" i="46"/>
  <c r="AF271" i="46"/>
  <c r="AE271" i="46"/>
  <c r="AD271" i="46"/>
  <c r="AC271" i="46"/>
  <c r="AB271" i="46"/>
  <c r="AA271" i="46"/>
  <c r="Z271" i="46"/>
  <c r="Y271" i="46"/>
  <c r="X271" i="46"/>
  <c r="W271" i="46"/>
  <c r="V271" i="46"/>
  <c r="U271" i="46"/>
  <c r="T271" i="46"/>
  <c r="S271" i="46"/>
  <c r="R271" i="46"/>
  <c r="Q271" i="46"/>
  <c r="P271" i="46"/>
  <c r="O271" i="46"/>
  <c r="N271" i="46"/>
  <c r="M271" i="46"/>
  <c r="L271" i="46"/>
  <c r="K271" i="46"/>
  <c r="J271" i="46"/>
  <c r="I271" i="46"/>
  <c r="H271" i="46"/>
  <c r="G271" i="46"/>
  <c r="F271" i="46"/>
  <c r="E271" i="46"/>
  <c r="D271" i="46"/>
  <c r="C271" i="46"/>
  <c r="B271" i="46"/>
  <c r="A271" i="46"/>
  <c r="AE270" i="46"/>
  <c r="AD270" i="46"/>
  <c r="AC270" i="46"/>
  <c r="AB270" i="46"/>
  <c r="AA270" i="46"/>
  <c r="Z270" i="46"/>
  <c r="Y270" i="46"/>
  <c r="X270" i="46"/>
  <c r="W270" i="46"/>
  <c r="V270" i="46"/>
  <c r="U270" i="46"/>
  <c r="T270" i="46"/>
  <c r="S270" i="46"/>
  <c r="R270" i="46"/>
  <c r="Q270" i="46"/>
  <c r="P270" i="46"/>
  <c r="B270" i="46"/>
  <c r="S245" i="46"/>
  <c r="AG235" i="46"/>
  <c r="AF235" i="46"/>
  <c r="AE235" i="46"/>
  <c r="AD235" i="46"/>
  <c r="AC235" i="46"/>
  <c r="AB235" i="46"/>
  <c r="AA235" i="46"/>
  <c r="Z235" i="46"/>
  <c r="Y235" i="46"/>
  <c r="X235" i="46"/>
  <c r="W235" i="46"/>
  <c r="V235" i="46"/>
  <c r="U235" i="46"/>
  <c r="T235" i="46"/>
  <c r="S235" i="46"/>
  <c r="R235" i="46"/>
  <c r="Q235" i="46"/>
  <c r="C235" i="46"/>
  <c r="D234" i="46"/>
  <c r="C270" i="46" s="1"/>
  <c r="B234" i="46"/>
  <c r="AF270" i="46" s="1"/>
  <c r="D233" i="46"/>
  <c r="E233" i="46" s="1"/>
  <c r="F233" i="46" s="1"/>
  <c r="G233" i="46" s="1"/>
  <c r="H233" i="46" s="1"/>
  <c r="I233" i="46" s="1"/>
  <c r="J233" i="46" s="1"/>
  <c r="K233" i="46" s="1"/>
  <c r="L233" i="46" s="1"/>
  <c r="M233" i="46" s="1"/>
  <c r="N233" i="46" s="1"/>
  <c r="O233" i="46" s="1"/>
  <c r="P233" i="46" s="1"/>
  <c r="B233" i="46"/>
  <c r="E232" i="46"/>
  <c r="F232" i="46" s="1"/>
  <c r="G232" i="46" s="1"/>
  <c r="H232" i="46" s="1"/>
  <c r="I232" i="46" s="1"/>
  <c r="D232" i="46"/>
  <c r="B232" i="46"/>
  <c r="F231" i="46"/>
  <c r="G231" i="46" s="1"/>
  <c r="H231" i="46" s="1"/>
  <c r="E231" i="46"/>
  <c r="D231" i="46"/>
  <c r="B231" i="46"/>
  <c r="D230" i="46"/>
  <c r="E230" i="46" s="1"/>
  <c r="F230" i="46" s="1"/>
  <c r="G230" i="46" s="1"/>
  <c r="H230" i="46" s="1"/>
  <c r="I230" i="46" s="1"/>
  <c r="J230" i="46" s="1"/>
  <c r="K230" i="46" s="1"/>
  <c r="L230" i="46" s="1"/>
  <c r="M230" i="46" s="1"/>
  <c r="N230" i="46" s="1"/>
  <c r="O230" i="46" s="1"/>
  <c r="P230" i="46" s="1"/>
  <c r="B230" i="46"/>
  <c r="D229" i="46"/>
  <c r="D235" i="46" s="1"/>
  <c r="B229" i="46"/>
  <c r="B235" i="46" s="1"/>
  <c r="AG227" i="46"/>
  <c r="AF227" i="46"/>
  <c r="AE227" i="46"/>
  <c r="AD227" i="46"/>
  <c r="AC227" i="46"/>
  <c r="AB227" i="46"/>
  <c r="AA227" i="46"/>
  <c r="Z227" i="46"/>
  <c r="Y227" i="46"/>
  <c r="X227" i="46"/>
  <c r="W227" i="46"/>
  <c r="V227" i="46"/>
  <c r="U227" i="46"/>
  <c r="T227" i="46"/>
  <c r="S227" i="46"/>
  <c r="R227" i="46"/>
  <c r="Q227" i="46"/>
  <c r="P227" i="46"/>
  <c r="O227" i="46"/>
  <c r="N227" i="46"/>
  <c r="M227" i="46"/>
  <c r="L227" i="46"/>
  <c r="K227" i="46"/>
  <c r="J227" i="46"/>
  <c r="I227" i="46"/>
  <c r="H227" i="46"/>
  <c r="G227" i="46"/>
  <c r="F227" i="46"/>
  <c r="E227" i="46"/>
  <c r="D227" i="46"/>
  <c r="C227" i="46"/>
  <c r="B227" i="46"/>
  <c r="AI120" i="46"/>
  <c r="AH120" i="46"/>
  <c r="AI119" i="46"/>
  <c r="AH119" i="46"/>
  <c r="AI118" i="46"/>
  <c r="AH118" i="46"/>
  <c r="AI117" i="46"/>
  <c r="AH117" i="46"/>
  <c r="AI116" i="46"/>
  <c r="AH116" i="46"/>
  <c r="AI115" i="46"/>
  <c r="AH115" i="46"/>
  <c r="AI114" i="46"/>
  <c r="AH114" i="46"/>
  <c r="AI113" i="46"/>
  <c r="AH113" i="46"/>
  <c r="AI112" i="46"/>
  <c r="AH112" i="46"/>
  <c r="AI111" i="46"/>
  <c r="AH111" i="46"/>
  <c r="AF110" i="46"/>
  <c r="AE110" i="46"/>
  <c r="AC110" i="46"/>
  <c r="AB110" i="46"/>
  <c r="AA110" i="46"/>
  <c r="Z110" i="46"/>
  <c r="Y110" i="46"/>
  <c r="X110" i="46"/>
  <c r="W110" i="46"/>
  <c r="V110" i="46"/>
  <c r="U110" i="46"/>
  <c r="T110" i="46"/>
  <c r="S110" i="46"/>
  <c r="R110" i="46"/>
  <c r="Q110" i="46"/>
  <c r="D110" i="46"/>
  <c r="C110" i="46"/>
  <c r="B110" i="46"/>
  <c r="AI109" i="46"/>
  <c r="AH109" i="46"/>
  <c r="AI108" i="46"/>
  <c r="AH108" i="46"/>
  <c r="AI107" i="46"/>
  <c r="AH107" i="46"/>
  <c r="AI106" i="46"/>
  <c r="AH106" i="46"/>
  <c r="AI105" i="46"/>
  <c r="AH105" i="46"/>
  <c r="AI104" i="46"/>
  <c r="AH104" i="46"/>
  <c r="AI103" i="46"/>
  <c r="AH103" i="46"/>
  <c r="AI102" i="46"/>
  <c r="AH102" i="46"/>
  <c r="AI101" i="46"/>
  <c r="AH101" i="46"/>
  <c r="AF99" i="46"/>
  <c r="AE99" i="46"/>
  <c r="AD99" i="46"/>
  <c r="AC99" i="46"/>
  <c r="AB99" i="46"/>
  <c r="AA99" i="46"/>
  <c r="Z99" i="46"/>
  <c r="Y99" i="46"/>
  <c r="X99" i="46"/>
  <c r="W99" i="46"/>
  <c r="V99" i="46"/>
  <c r="U99" i="46"/>
  <c r="T99" i="46"/>
  <c r="S99" i="46"/>
  <c r="R99" i="46"/>
  <c r="Q99" i="46"/>
  <c r="P99" i="46"/>
  <c r="O99" i="46"/>
  <c r="N99" i="46"/>
  <c r="M99" i="46"/>
  <c r="L99" i="46"/>
  <c r="K99" i="46"/>
  <c r="J99" i="46"/>
  <c r="I99" i="46"/>
  <c r="H99" i="46"/>
  <c r="G99" i="46"/>
  <c r="F99" i="46"/>
  <c r="E99" i="46"/>
  <c r="D99" i="46"/>
  <c r="C99" i="46"/>
  <c r="B99" i="46"/>
  <c r="AI98" i="46"/>
  <c r="AH98" i="46"/>
  <c r="AI97" i="46"/>
  <c r="AH97" i="46"/>
  <c r="AI96" i="46"/>
  <c r="AH96" i="46"/>
  <c r="AI95" i="46"/>
  <c r="AH95" i="46"/>
  <c r="AI94" i="46"/>
  <c r="AH94" i="46"/>
  <c r="AI93" i="46"/>
  <c r="AH93" i="46"/>
  <c r="AI90" i="46"/>
  <c r="AH90" i="46"/>
  <c r="AI88" i="46"/>
  <c r="AH88" i="46"/>
  <c r="AG88" i="46"/>
  <c r="AI87" i="46"/>
  <c r="AH87" i="46"/>
  <c r="AI86" i="46"/>
  <c r="AH86" i="46"/>
  <c r="AI85" i="46"/>
  <c r="AH85" i="46"/>
  <c r="AG84" i="46"/>
  <c r="AF84" i="46"/>
  <c r="AE5" i="46" s="1"/>
  <c r="AE84" i="46"/>
  <c r="AD5" i="46" s="1"/>
  <c r="AD84" i="46"/>
  <c r="AD100" i="46" s="1"/>
  <c r="AC84" i="46"/>
  <c r="AC100" i="46" s="1"/>
  <c r="AB84" i="46"/>
  <c r="AB100" i="46" s="1"/>
  <c r="AA84" i="46"/>
  <c r="Z84" i="46"/>
  <c r="Z100" i="46" s="1"/>
  <c r="Y84" i="46"/>
  <c r="Y100" i="46" s="1"/>
  <c r="X84" i="46"/>
  <c r="W5" i="46" s="1"/>
  <c r="W84" i="46"/>
  <c r="V5" i="46" s="1"/>
  <c r="V84" i="46"/>
  <c r="V100" i="46" s="1"/>
  <c r="U84" i="46"/>
  <c r="U100" i="46" s="1"/>
  <c r="T84" i="46"/>
  <c r="T100" i="46" s="1"/>
  <c r="S84" i="46"/>
  <c r="S100" i="46" s="1"/>
  <c r="R84" i="46"/>
  <c r="R100" i="46" s="1"/>
  <c r="Q84" i="46"/>
  <c r="Q100" i="46" s="1"/>
  <c r="P84" i="46"/>
  <c r="O5" i="46" s="1"/>
  <c r="O84" i="46"/>
  <c r="O100" i="46" s="1"/>
  <c r="N84" i="46"/>
  <c r="N100" i="46" s="1"/>
  <c r="M84" i="46"/>
  <c r="M100" i="46" s="1"/>
  <c r="L84" i="46"/>
  <c r="L100" i="46" s="1"/>
  <c r="K84" i="46"/>
  <c r="K100" i="46" s="1"/>
  <c r="J84" i="46"/>
  <c r="J100" i="46" s="1"/>
  <c r="I84" i="46"/>
  <c r="H84" i="46"/>
  <c r="G5" i="46" s="1"/>
  <c r="G84" i="46"/>
  <c r="G100" i="46" s="1"/>
  <c r="F84" i="46"/>
  <c r="F100" i="46" s="1"/>
  <c r="E84" i="46"/>
  <c r="E100" i="46" s="1"/>
  <c r="D84" i="46"/>
  <c r="D100" i="46" s="1"/>
  <c r="C84" i="46"/>
  <c r="C100" i="46" s="1"/>
  <c r="B84" i="46"/>
  <c r="AI83" i="46"/>
  <c r="AH83" i="46"/>
  <c r="AI82" i="46"/>
  <c r="AH82" i="46"/>
  <c r="AI81" i="46"/>
  <c r="AH81" i="46"/>
  <c r="AI80" i="46"/>
  <c r="AH80" i="46"/>
  <c r="AI79" i="46"/>
  <c r="AH79" i="46"/>
  <c r="AI78" i="46"/>
  <c r="AH78" i="46"/>
  <c r="AI77" i="46"/>
  <c r="AH77" i="46"/>
  <c r="AI76" i="46"/>
  <c r="AH76" i="46"/>
  <c r="AI75" i="46"/>
  <c r="AH75" i="46"/>
  <c r="AI74" i="46"/>
  <c r="AH74" i="46"/>
  <c r="AI73" i="46"/>
  <c r="AH73" i="46"/>
  <c r="AG72" i="46"/>
  <c r="AF72" i="46"/>
  <c r="AE72" i="46"/>
  <c r="AD72" i="46"/>
  <c r="AC72" i="46"/>
  <c r="AB72" i="46"/>
  <c r="AA72" i="46"/>
  <c r="Z72" i="46"/>
  <c r="Y72" i="46"/>
  <c r="X72" i="46"/>
  <c r="W72" i="46"/>
  <c r="V72" i="46"/>
  <c r="U72" i="46"/>
  <c r="T72" i="46"/>
  <c r="S72" i="46"/>
  <c r="R72" i="46"/>
  <c r="Q72" i="46"/>
  <c r="P72" i="46"/>
  <c r="O72" i="46"/>
  <c r="N72" i="46"/>
  <c r="M72" i="46"/>
  <c r="L72" i="46"/>
  <c r="B72" i="46"/>
  <c r="AI72" i="46" s="1"/>
  <c r="AI71" i="46"/>
  <c r="AH71" i="46"/>
  <c r="AI70" i="46"/>
  <c r="AH70" i="46"/>
  <c r="AI69" i="46"/>
  <c r="AH69" i="46"/>
  <c r="AF68" i="46"/>
  <c r="AE68" i="46"/>
  <c r="AD68" i="46"/>
  <c r="AC68" i="46"/>
  <c r="AB68" i="46"/>
  <c r="AA68" i="46"/>
  <c r="Z68" i="46"/>
  <c r="Y68" i="46"/>
  <c r="X68" i="46"/>
  <c r="W68" i="46"/>
  <c r="V68" i="46"/>
  <c r="U68" i="46"/>
  <c r="T68" i="46"/>
  <c r="P68" i="46"/>
  <c r="O68" i="46"/>
  <c r="N68" i="46"/>
  <c r="M68" i="46"/>
  <c r="L68" i="46"/>
  <c r="K68" i="46"/>
  <c r="J68" i="46"/>
  <c r="I68" i="46"/>
  <c r="H68" i="46"/>
  <c r="G68" i="46"/>
  <c r="F68" i="46"/>
  <c r="E68" i="46"/>
  <c r="D68" i="46"/>
  <c r="C68" i="46"/>
  <c r="B68" i="46"/>
  <c r="AI67" i="46"/>
  <c r="AH67" i="46"/>
  <c r="AG67" i="46"/>
  <c r="AG68" i="46" s="1"/>
  <c r="AI66" i="46"/>
  <c r="AH66" i="46"/>
  <c r="AI65" i="46"/>
  <c r="AH65" i="46"/>
  <c r="AI64" i="46"/>
  <c r="AH64" i="46"/>
  <c r="AI63" i="46"/>
  <c r="AH63" i="46"/>
  <c r="AI62" i="46"/>
  <c r="AH62" i="46"/>
  <c r="AI61" i="46"/>
  <c r="AH61" i="46"/>
  <c r="AI60" i="46"/>
  <c r="AH60" i="46"/>
  <c r="AI59" i="46"/>
  <c r="AH59" i="46"/>
  <c r="AI58" i="46"/>
  <c r="AH58" i="46"/>
  <c r="AI57" i="46"/>
  <c r="AH57" i="46"/>
  <c r="AI56" i="46"/>
  <c r="AH56" i="46"/>
  <c r="AI55" i="46"/>
  <c r="AH55" i="46"/>
  <c r="AG54" i="46"/>
  <c r="AE54" i="46"/>
  <c r="AD54" i="46"/>
  <c r="AB54" i="46"/>
  <c r="AA54" i="46"/>
  <c r="Z54" i="46"/>
  <c r="Y54" i="46"/>
  <c r="X54" i="46"/>
  <c r="W54" i="46"/>
  <c r="V54" i="46"/>
  <c r="U54" i="46"/>
  <c r="T54" i="46"/>
  <c r="S54" i="46"/>
  <c r="R54" i="46"/>
  <c r="Q54" i="46"/>
  <c r="P54" i="46"/>
  <c r="O54" i="46"/>
  <c r="N54" i="46"/>
  <c r="M54" i="46"/>
  <c r="L54" i="46"/>
  <c r="K54" i="46"/>
  <c r="J54" i="46"/>
  <c r="I54" i="46"/>
  <c r="H54" i="46"/>
  <c r="G54" i="46"/>
  <c r="F54" i="46"/>
  <c r="E54" i="46"/>
  <c r="D54" i="46"/>
  <c r="C54" i="46"/>
  <c r="AI53" i="46"/>
  <c r="AH53" i="46"/>
  <c r="AI52" i="46"/>
  <c r="AH52" i="46"/>
  <c r="AI51" i="46"/>
  <c r="AH51" i="46"/>
  <c r="AG50" i="46"/>
  <c r="AE50" i="46"/>
  <c r="AD50" i="46"/>
  <c r="AB50" i="46"/>
  <c r="AA50" i="46"/>
  <c r="Z50" i="46"/>
  <c r="Y50" i="46"/>
  <c r="X50" i="46"/>
  <c r="W50" i="46"/>
  <c r="V50" i="46"/>
  <c r="U50" i="46"/>
  <c r="T50" i="46"/>
  <c r="S50" i="46"/>
  <c r="R50" i="46"/>
  <c r="Q50" i="46"/>
  <c r="P50" i="46"/>
  <c r="O50" i="46"/>
  <c r="N50" i="46"/>
  <c r="M50" i="46"/>
  <c r="L50" i="46"/>
  <c r="K50" i="46"/>
  <c r="J50" i="46"/>
  <c r="I50" i="46"/>
  <c r="H50" i="46"/>
  <c r="G50" i="46"/>
  <c r="F50" i="46"/>
  <c r="E50" i="46"/>
  <c r="D50" i="46"/>
  <c r="C50" i="46"/>
  <c r="AI49" i="46"/>
  <c r="AH49" i="46"/>
  <c r="AI48" i="46"/>
  <c r="AH48" i="46"/>
  <c r="AI47" i="46"/>
  <c r="AH47" i="46"/>
  <c r="AI46" i="46"/>
  <c r="AH46" i="46"/>
  <c r="AI45" i="46"/>
  <c r="AH45" i="46"/>
  <c r="AI44" i="46"/>
  <c r="AH44" i="46"/>
  <c r="AI43" i="46"/>
  <c r="AH43" i="46"/>
  <c r="AI42" i="46"/>
  <c r="AH42" i="46"/>
  <c r="AI41" i="46"/>
  <c r="AH41" i="46"/>
  <c r="AI40" i="46"/>
  <c r="AH40" i="46"/>
  <c r="AI39" i="46"/>
  <c r="AH39" i="46"/>
  <c r="AI38" i="46"/>
  <c r="AH38" i="46"/>
  <c r="AI37" i="46"/>
  <c r="AH37" i="46"/>
  <c r="AI36" i="46"/>
  <c r="AH36" i="46"/>
  <c r="AI35" i="46"/>
  <c r="AH35" i="46"/>
  <c r="AI34" i="46"/>
  <c r="AH34" i="46"/>
  <c r="AI33" i="46"/>
  <c r="AH33" i="46"/>
  <c r="AI32" i="46"/>
  <c r="AH32" i="46"/>
  <c r="AI31" i="46"/>
  <c r="AH31" i="46"/>
  <c r="AI30" i="46"/>
  <c r="AH30" i="46"/>
  <c r="AI29" i="46"/>
  <c r="AH29" i="46"/>
  <c r="AI28" i="46"/>
  <c r="AH28" i="46"/>
  <c r="AI27" i="46"/>
  <c r="AH27" i="46"/>
  <c r="AI26" i="46"/>
  <c r="AH26" i="46"/>
  <c r="AI25" i="46"/>
  <c r="AH25" i="46"/>
  <c r="AI24" i="46"/>
  <c r="AH24" i="46"/>
  <c r="AI23" i="46"/>
  <c r="AH23" i="46"/>
  <c r="AI22" i="46"/>
  <c r="AH22" i="46"/>
  <c r="AI21" i="46"/>
  <c r="AH21" i="46"/>
  <c r="AI20" i="46"/>
  <c r="AH20" i="46"/>
  <c r="AI19" i="46"/>
  <c r="AH19" i="46"/>
  <c r="AI18" i="46"/>
  <c r="AH18" i="46"/>
  <c r="AI17" i="46"/>
  <c r="AH17" i="46"/>
  <c r="AI16" i="46"/>
  <c r="AH16" i="46"/>
  <c r="AI15" i="46"/>
  <c r="AH15" i="46"/>
  <c r="AI14" i="46"/>
  <c r="AH14" i="46"/>
  <c r="AI13" i="46"/>
  <c r="AH13" i="46"/>
  <c r="AI12" i="46"/>
  <c r="AH12" i="46"/>
  <c r="AI11" i="46"/>
  <c r="AH11" i="46"/>
  <c r="AA5" i="46"/>
  <c r="Z5" i="46"/>
  <c r="J5" i="46"/>
  <c r="AG4" i="46"/>
  <c r="K4" i="46"/>
  <c r="E4" i="46"/>
  <c r="H4" i="46" s="1"/>
  <c r="B4" i="46"/>
  <c r="S246" i="46" s="1"/>
  <c r="AG2" i="46"/>
  <c r="AF49" i="45"/>
  <c r="AE49" i="45"/>
  <c r="AD49" i="45"/>
  <c r="AA110" i="45"/>
  <c r="AA99" i="45"/>
  <c r="AA84" i="45"/>
  <c r="AA100" i="45" s="1"/>
  <c r="AA72" i="45"/>
  <c r="AA68" i="45"/>
  <c r="AA54" i="45"/>
  <c r="AA50" i="45"/>
  <c r="AA49" i="45"/>
  <c r="Z49" i="45"/>
  <c r="Z50" i="45"/>
  <c r="Z54" i="45"/>
  <c r="Z68" i="45"/>
  <c r="Z72" i="45"/>
  <c r="Z84" i="45"/>
  <c r="Z100" i="45" s="1"/>
  <c r="Z99" i="45"/>
  <c r="Z110" i="45"/>
  <c r="Y49" i="45"/>
  <c r="Y50" i="45"/>
  <c r="Y54" i="45"/>
  <c r="Y68" i="45"/>
  <c r="Y72" i="45"/>
  <c r="Y84" i="45"/>
  <c r="Y100" i="45" s="1"/>
  <c r="Y99" i="45"/>
  <c r="Y110" i="45"/>
  <c r="X49" i="45"/>
  <c r="W113" i="45"/>
  <c r="W49" i="45"/>
  <c r="AF89" i="46" l="1"/>
  <c r="AF91" i="46" s="1"/>
  <c r="AF7" i="46" s="1"/>
  <c r="AE100" i="46"/>
  <c r="AE89" i="46"/>
  <c r="AE91" i="46" s="1"/>
  <c r="AE7" i="46" s="1"/>
  <c r="AD89" i="46"/>
  <c r="AD91" i="46" s="1"/>
  <c r="AB5" i="46"/>
  <c r="AC89" i="46"/>
  <c r="AC91" i="46" s="1"/>
  <c r="AU249" i="46" s="1"/>
  <c r="AB89" i="46"/>
  <c r="AB91" i="46" s="1"/>
  <c r="AA100" i="46"/>
  <c r="AA89" i="46"/>
  <c r="AA91" i="46" s="1"/>
  <c r="Y5" i="46"/>
  <c r="Z89" i="46"/>
  <c r="Z91" i="46" s="1"/>
  <c r="Z92" i="46" s="1"/>
  <c r="I5" i="46"/>
  <c r="X5" i="46"/>
  <c r="Y89" i="46"/>
  <c r="Y91" i="46" s="1"/>
  <c r="Y92" i="46" s="1"/>
  <c r="X89" i="46"/>
  <c r="X91" i="46" s="1"/>
  <c r="X92" i="46" s="1"/>
  <c r="W100" i="46"/>
  <c r="W89" i="46"/>
  <c r="W91" i="46" s="1"/>
  <c r="W92" i="46" s="1"/>
  <c r="V89" i="46"/>
  <c r="V91" i="46" s="1"/>
  <c r="V7" i="46" s="1"/>
  <c r="T5" i="46"/>
  <c r="U89" i="46"/>
  <c r="U91" i="46" s="1"/>
  <c r="S5" i="46"/>
  <c r="T89" i="46"/>
  <c r="T91" i="46" s="1"/>
  <c r="T92" i="46" s="1"/>
  <c r="R89" i="46"/>
  <c r="R91" i="46" s="1"/>
  <c r="AJ249" i="46" s="1"/>
  <c r="Q5" i="46"/>
  <c r="P5" i="46"/>
  <c r="S89" i="46"/>
  <c r="S91" i="46" s="1"/>
  <c r="S92" i="46" s="1"/>
  <c r="R5" i="46"/>
  <c r="Q89" i="46"/>
  <c r="Q91" i="46" s="1"/>
  <c r="Q7" i="46" s="1"/>
  <c r="P89" i="46"/>
  <c r="P91" i="46" s="1"/>
  <c r="AH249" i="46" s="1"/>
  <c r="O89" i="46"/>
  <c r="O91" i="46" s="1"/>
  <c r="O92" i="46" s="1"/>
  <c r="N5" i="46"/>
  <c r="N89" i="46"/>
  <c r="N91" i="46" s="1"/>
  <c r="AF249" i="46" s="1"/>
  <c r="L5" i="46"/>
  <c r="AH54" i="46"/>
  <c r="M89" i="46"/>
  <c r="M91" i="46" s="1"/>
  <c r="M92" i="46" s="1"/>
  <c r="K5" i="46"/>
  <c r="L89" i="46"/>
  <c r="L91" i="46" s="1"/>
  <c r="L7" i="46" s="1"/>
  <c r="K89" i="46"/>
  <c r="K91" i="46" s="1"/>
  <c r="K92" i="46" s="1"/>
  <c r="I100" i="46"/>
  <c r="H5" i="46"/>
  <c r="H89" i="46"/>
  <c r="H91" i="46" s="1"/>
  <c r="H7" i="46" s="1"/>
  <c r="F5" i="46"/>
  <c r="I89" i="46"/>
  <c r="I91" i="46" s="1"/>
  <c r="I92" i="46" s="1"/>
  <c r="F89" i="46"/>
  <c r="F91" i="46" s="1"/>
  <c r="F7" i="46" s="1"/>
  <c r="D5" i="46"/>
  <c r="J89" i="46"/>
  <c r="J91" i="46" s="1"/>
  <c r="AB249" i="46" s="1"/>
  <c r="G89" i="46"/>
  <c r="G91" i="46" s="1"/>
  <c r="Y249" i="46" s="1"/>
  <c r="E89" i="46"/>
  <c r="E91" i="46" s="1"/>
  <c r="E7" i="46" s="1"/>
  <c r="C5" i="46"/>
  <c r="D89" i="46"/>
  <c r="D91" i="46" s="1"/>
  <c r="D7" i="46" s="1"/>
  <c r="AI99" i="46"/>
  <c r="C89" i="46"/>
  <c r="C91" i="46" s="1"/>
  <c r="C92" i="46" s="1"/>
  <c r="AI84" i="46"/>
  <c r="B5" i="46"/>
  <c r="AI68" i="46"/>
  <c r="AF5" i="46"/>
  <c r="B89" i="46"/>
  <c r="D246" i="46"/>
  <c r="AB92" i="46"/>
  <c r="AB7" i="46"/>
  <c r="AT249" i="46"/>
  <c r="AD7" i="46"/>
  <c r="AV249" i="46"/>
  <c r="AD92" i="46"/>
  <c r="AO249" i="46"/>
  <c r="AW249" i="46"/>
  <c r="AE92" i="46"/>
  <c r="R92" i="46"/>
  <c r="R7" i="46"/>
  <c r="V92" i="46"/>
  <c r="U92" i="46"/>
  <c r="U7" i="46"/>
  <c r="AM249" i="46"/>
  <c r="AG6" i="46"/>
  <c r="P92" i="46"/>
  <c r="P7" i="46"/>
  <c r="AG91" i="46"/>
  <c r="AG3" i="46"/>
  <c r="J232" i="46"/>
  <c r="K232" i="46" s="1"/>
  <c r="L232" i="46" s="1"/>
  <c r="M232" i="46" s="1"/>
  <c r="N232" i="46" s="1"/>
  <c r="O232" i="46" s="1"/>
  <c r="P232" i="46" s="1"/>
  <c r="AC7" i="46"/>
  <c r="AC92" i="46"/>
  <c r="Q92" i="46"/>
  <c r="AI249" i="46"/>
  <c r="Y7" i="46"/>
  <c r="AQ249" i="46"/>
  <c r="AG89" i="46"/>
  <c r="AA92" i="46"/>
  <c r="AA7" i="46"/>
  <c r="AS249" i="46"/>
  <c r="AI50" i="46"/>
  <c r="AI54" i="46"/>
  <c r="AH99" i="46"/>
  <c r="H100" i="46"/>
  <c r="P100" i="46"/>
  <c r="X100" i="46"/>
  <c r="AF100" i="46"/>
  <c r="E234" i="46"/>
  <c r="B100" i="46"/>
  <c r="E229" i="46"/>
  <c r="E5" i="46"/>
  <c r="M5" i="46"/>
  <c r="U5" i="46"/>
  <c r="AC5" i="46"/>
  <c r="AH72" i="46"/>
  <c r="AH84" i="46"/>
  <c r="AH50" i="46"/>
  <c r="AH68" i="46"/>
  <c r="AA89" i="45"/>
  <c r="AA91" i="45" s="1"/>
  <c r="AA92" i="45" s="1"/>
  <c r="Z89" i="45"/>
  <c r="Z91" i="45" s="1"/>
  <c r="Z92" i="45" s="1"/>
  <c r="Y89" i="45"/>
  <c r="Y91" i="45" s="1"/>
  <c r="Y92" i="45" s="1"/>
  <c r="AF92" i="46" l="1"/>
  <c r="AX249" i="46"/>
  <c r="AP249" i="46"/>
  <c r="X7" i="46"/>
  <c r="W7" i="46"/>
  <c r="AR249" i="46"/>
  <c r="Z7" i="46"/>
  <c r="AN249" i="46"/>
  <c r="T7" i="46"/>
  <c r="AL249" i="46"/>
  <c r="AK249" i="46"/>
  <c r="S7" i="46"/>
  <c r="AG249" i="46"/>
  <c r="O7" i="46"/>
  <c r="N7" i="46"/>
  <c r="N92" i="46"/>
  <c r="AE249" i="46"/>
  <c r="M7" i="46"/>
  <c r="L92" i="46"/>
  <c r="AD249" i="46"/>
  <c r="K7" i="46"/>
  <c r="AC249" i="46"/>
  <c r="J7" i="46"/>
  <c r="J92" i="46"/>
  <c r="I7" i="46"/>
  <c r="AA249" i="46"/>
  <c r="H92" i="46"/>
  <c r="Z249" i="46"/>
  <c r="B244" i="46"/>
  <c r="G7" i="46"/>
  <c r="G92" i="46"/>
  <c r="C244" i="46"/>
  <c r="F92" i="46"/>
  <c r="X249" i="46"/>
  <c r="W249" i="46"/>
  <c r="E92" i="46"/>
  <c r="D92" i="46"/>
  <c r="V249" i="46"/>
  <c r="U249" i="46"/>
  <c r="C7" i="46"/>
  <c r="AH89" i="46"/>
  <c r="B91" i="46"/>
  <c r="T249" i="46" s="1"/>
  <c r="AI89" i="46"/>
  <c r="AH100" i="46"/>
  <c r="AI100" i="46"/>
  <c r="D270" i="46"/>
  <c r="F234" i="46"/>
  <c r="E235" i="46"/>
  <c r="F229" i="46"/>
  <c r="E110" i="46"/>
  <c r="K6" i="46" l="1"/>
  <c r="B7" i="46"/>
  <c r="A7" i="46" s="1"/>
  <c r="AH91" i="46"/>
  <c r="AI91" i="46"/>
  <c r="B92" i="46"/>
  <c r="AI92" i="46" s="1"/>
  <c r="F110" i="46"/>
  <c r="G229" i="46"/>
  <c r="F235" i="46"/>
  <c r="E270" i="46"/>
  <c r="G234" i="46"/>
  <c r="AH92" i="46" l="1"/>
  <c r="G235" i="46"/>
  <c r="H229" i="46"/>
  <c r="G110" i="46"/>
  <c r="F270" i="46"/>
  <c r="H234" i="46"/>
  <c r="G270" i="46" l="1"/>
  <c r="I234" i="46"/>
  <c r="I229" i="46"/>
  <c r="H110" i="46"/>
  <c r="H235" i="46"/>
  <c r="I110" i="46" l="1"/>
  <c r="J229" i="46"/>
  <c r="H270" i="46"/>
  <c r="J234" i="46"/>
  <c r="K234" i="46" l="1"/>
  <c r="I270" i="46"/>
  <c r="J110" i="46"/>
  <c r="K229" i="46"/>
  <c r="K110" i="46" l="1"/>
  <c r="L229" i="46"/>
  <c r="L234" i="46"/>
  <c r="J270" i="46"/>
  <c r="K270" i="46" l="1"/>
  <c r="M234" i="46"/>
  <c r="L110" i="46"/>
  <c r="M229" i="46"/>
  <c r="N229" i="46" l="1"/>
  <c r="M110" i="46"/>
  <c r="L270" i="46"/>
  <c r="N234" i="46"/>
  <c r="M270" i="46" l="1"/>
  <c r="O234" i="46"/>
  <c r="O229" i="46"/>
  <c r="N110" i="46"/>
  <c r="P229" i="46" l="1"/>
  <c r="O110" i="46"/>
  <c r="N270" i="46"/>
  <c r="P234" i="46"/>
  <c r="O270" i="46" s="1"/>
  <c r="AH110" i="46" l="1"/>
  <c r="AI110" i="46"/>
  <c r="V49" i="45" l="1"/>
  <c r="V50" i="45"/>
  <c r="V54" i="45"/>
  <c r="V68" i="45"/>
  <c r="V72" i="45"/>
  <c r="V84" i="45"/>
  <c r="V89" i="45" s="1"/>
  <c r="V91" i="45" s="1"/>
  <c r="V92" i="45" s="1"/>
  <c r="V99" i="45"/>
  <c r="V110" i="45"/>
  <c r="U49" i="45"/>
  <c r="U50" i="45"/>
  <c r="U54" i="45"/>
  <c r="U68" i="45"/>
  <c r="U72" i="45"/>
  <c r="U84" i="45"/>
  <c r="U100" i="45" s="1"/>
  <c r="U99" i="45"/>
  <c r="U110" i="45"/>
  <c r="T49" i="45"/>
  <c r="T50" i="45"/>
  <c r="T54" i="45"/>
  <c r="T68" i="45"/>
  <c r="T72" i="45"/>
  <c r="T84" i="45"/>
  <c r="T100" i="45" s="1"/>
  <c r="T99" i="45"/>
  <c r="T110" i="45"/>
  <c r="S49" i="45"/>
  <c r="S50" i="45"/>
  <c r="S54" i="45"/>
  <c r="S68" i="45"/>
  <c r="S72" i="45"/>
  <c r="S84" i="45"/>
  <c r="S100" i="45" s="1"/>
  <c r="S99" i="45"/>
  <c r="S110" i="45"/>
  <c r="R113" i="45"/>
  <c r="R49" i="45"/>
  <c r="Q113" i="45"/>
  <c r="Q49" i="45"/>
  <c r="P113" i="45"/>
  <c r="P49" i="45"/>
  <c r="O113" i="45"/>
  <c r="O49" i="45"/>
  <c r="N113" i="45"/>
  <c r="N49" i="45"/>
  <c r="V100" i="45" l="1"/>
  <c r="U89" i="45"/>
  <c r="U91" i="45" s="1"/>
  <c r="U92" i="45" s="1"/>
  <c r="T89" i="45"/>
  <c r="T91" i="45" s="1"/>
  <c r="T92" i="45" s="1"/>
  <c r="S89" i="45"/>
  <c r="S91" i="45" s="1"/>
  <c r="S92" i="45" s="1"/>
  <c r="M113" i="45" l="1"/>
  <c r="M49" i="45"/>
  <c r="AF274" i="45"/>
  <c r="AE274" i="45"/>
  <c r="AD274" i="45"/>
  <c r="AC274" i="45"/>
  <c r="AB274" i="45"/>
  <c r="AA274" i="45"/>
  <c r="Z274" i="45"/>
  <c r="Y274" i="45"/>
  <c r="X274" i="45"/>
  <c r="W274" i="45"/>
  <c r="V274" i="45"/>
  <c r="U274" i="45"/>
  <c r="T274" i="45"/>
  <c r="S274" i="45"/>
  <c r="R274" i="45"/>
  <c r="Q274" i="45"/>
  <c r="P274" i="45"/>
  <c r="O274" i="45"/>
  <c r="N274" i="45"/>
  <c r="M274" i="45"/>
  <c r="L274" i="45"/>
  <c r="K274" i="45"/>
  <c r="J274" i="45"/>
  <c r="I274" i="45"/>
  <c r="H274" i="45"/>
  <c r="G274" i="45"/>
  <c r="F274" i="45"/>
  <c r="E274" i="45"/>
  <c r="D274" i="45"/>
  <c r="C274" i="45"/>
  <c r="B274" i="45"/>
  <c r="A274" i="45"/>
  <c r="AF273" i="45"/>
  <c r="AE273" i="45"/>
  <c r="AD273" i="45"/>
  <c r="AC273" i="45"/>
  <c r="AB273" i="45"/>
  <c r="AA273" i="45"/>
  <c r="Z273" i="45"/>
  <c r="Y273" i="45"/>
  <c r="X273" i="45"/>
  <c r="W273" i="45"/>
  <c r="V273" i="45"/>
  <c r="U273" i="45"/>
  <c r="T273" i="45"/>
  <c r="S273" i="45"/>
  <c r="R273" i="45"/>
  <c r="Q273" i="45"/>
  <c r="P273" i="45"/>
  <c r="O273" i="45"/>
  <c r="N273" i="45"/>
  <c r="M273" i="45"/>
  <c r="L273" i="45"/>
  <c r="K273" i="45"/>
  <c r="J273" i="45"/>
  <c r="I273" i="45"/>
  <c r="H273" i="45"/>
  <c r="G273" i="45"/>
  <c r="F273" i="45"/>
  <c r="E273" i="45"/>
  <c r="D273" i="45"/>
  <c r="C273" i="45"/>
  <c r="B273" i="45"/>
  <c r="A273" i="45"/>
  <c r="AF272" i="45"/>
  <c r="AE272" i="45"/>
  <c r="AD272" i="45"/>
  <c r="AC272" i="45"/>
  <c r="AB272" i="45"/>
  <c r="AA272" i="45"/>
  <c r="Z272" i="45"/>
  <c r="Y272" i="45"/>
  <c r="X272" i="45"/>
  <c r="W272" i="45"/>
  <c r="V272" i="45"/>
  <c r="U272" i="45"/>
  <c r="T272" i="45"/>
  <c r="S272" i="45"/>
  <c r="R272" i="45"/>
  <c r="Q272" i="45"/>
  <c r="P272" i="45"/>
  <c r="O272" i="45"/>
  <c r="N272" i="45"/>
  <c r="M272" i="45"/>
  <c r="L272" i="45"/>
  <c r="K272" i="45"/>
  <c r="J272" i="45"/>
  <c r="I272" i="45"/>
  <c r="H272" i="45"/>
  <c r="G272" i="45"/>
  <c r="F272" i="45"/>
  <c r="E272" i="45"/>
  <c r="D272" i="45"/>
  <c r="C272" i="45"/>
  <c r="B272" i="45"/>
  <c r="A272" i="45"/>
  <c r="AF271" i="45"/>
  <c r="AE271" i="45"/>
  <c r="AD271" i="45"/>
  <c r="AC271" i="45"/>
  <c r="AB271" i="45"/>
  <c r="AA271" i="45"/>
  <c r="Z271" i="45"/>
  <c r="Y271" i="45"/>
  <c r="X271" i="45"/>
  <c r="W271" i="45"/>
  <c r="V271" i="45"/>
  <c r="U271" i="45"/>
  <c r="T271" i="45"/>
  <c r="S271" i="45"/>
  <c r="R271" i="45"/>
  <c r="Q271" i="45"/>
  <c r="P271" i="45"/>
  <c r="O271" i="45"/>
  <c r="N271" i="45"/>
  <c r="M271" i="45"/>
  <c r="L271" i="45"/>
  <c r="K271" i="45"/>
  <c r="J271" i="45"/>
  <c r="I271" i="45"/>
  <c r="H271" i="45"/>
  <c r="G271" i="45"/>
  <c r="F271" i="45"/>
  <c r="E271" i="45"/>
  <c r="D271" i="45"/>
  <c r="C271" i="45"/>
  <c r="B271" i="45"/>
  <c r="A271" i="45"/>
  <c r="AE270" i="45"/>
  <c r="AD270" i="45"/>
  <c r="AC270" i="45"/>
  <c r="AB270" i="45"/>
  <c r="AA270" i="45"/>
  <c r="Z270" i="45"/>
  <c r="Y270" i="45"/>
  <c r="X270" i="45"/>
  <c r="W270" i="45"/>
  <c r="V270" i="45"/>
  <c r="U270" i="45"/>
  <c r="T270" i="45"/>
  <c r="S270" i="45"/>
  <c r="R270" i="45"/>
  <c r="Q270" i="45"/>
  <c r="P270" i="45"/>
  <c r="C270" i="45"/>
  <c r="B270" i="45"/>
  <c r="S245" i="45"/>
  <c r="AG235" i="45"/>
  <c r="AF235" i="45"/>
  <c r="AE235" i="45"/>
  <c r="AD235" i="45"/>
  <c r="AC235" i="45"/>
  <c r="AB235" i="45"/>
  <c r="AA235" i="45"/>
  <c r="Z235" i="45"/>
  <c r="Y235" i="45"/>
  <c r="X235" i="45"/>
  <c r="W235" i="45"/>
  <c r="V235" i="45"/>
  <c r="U235" i="45"/>
  <c r="T235" i="45"/>
  <c r="S235" i="45"/>
  <c r="R235" i="45"/>
  <c r="Q235" i="45"/>
  <c r="C235" i="45"/>
  <c r="D234" i="45"/>
  <c r="E234" i="45" s="1"/>
  <c r="B234" i="45"/>
  <c r="AF270" i="45" s="1"/>
  <c r="D233" i="45"/>
  <c r="E233" i="45" s="1"/>
  <c r="F233" i="45" s="1"/>
  <c r="G233" i="45" s="1"/>
  <c r="H233" i="45" s="1"/>
  <c r="I233" i="45" s="1"/>
  <c r="J233" i="45" s="1"/>
  <c r="K233" i="45" s="1"/>
  <c r="L233" i="45" s="1"/>
  <c r="M233" i="45" s="1"/>
  <c r="N233" i="45" s="1"/>
  <c r="O233" i="45" s="1"/>
  <c r="P233" i="45" s="1"/>
  <c r="B233" i="45"/>
  <c r="D232" i="45"/>
  <c r="E232" i="45" s="1"/>
  <c r="F232" i="45" s="1"/>
  <c r="G232" i="45" s="1"/>
  <c r="H232" i="45" s="1"/>
  <c r="I232" i="45" s="1"/>
  <c r="B232" i="45"/>
  <c r="F231" i="45"/>
  <c r="G231" i="45" s="1"/>
  <c r="H231" i="45" s="1"/>
  <c r="E231" i="45"/>
  <c r="D231" i="45"/>
  <c r="B231" i="45"/>
  <c r="D230" i="45"/>
  <c r="E230" i="45" s="1"/>
  <c r="F230" i="45" s="1"/>
  <c r="G230" i="45" s="1"/>
  <c r="H230" i="45" s="1"/>
  <c r="I230" i="45" s="1"/>
  <c r="J230" i="45" s="1"/>
  <c r="K230" i="45" s="1"/>
  <c r="L230" i="45" s="1"/>
  <c r="M230" i="45" s="1"/>
  <c r="N230" i="45" s="1"/>
  <c r="O230" i="45" s="1"/>
  <c r="P230" i="45" s="1"/>
  <c r="B230" i="45"/>
  <c r="D229" i="45"/>
  <c r="D235" i="45" s="1"/>
  <c r="B229" i="45"/>
  <c r="B235" i="45" s="1"/>
  <c r="AG227" i="45"/>
  <c r="AF227" i="45"/>
  <c r="AE227" i="45"/>
  <c r="AD227" i="45"/>
  <c r="AC227" i="45"/>
  <c r="AB227" i="45"/>
  <c r="AA227" i="45"/>
  <c r="Z227" i="45"/>
  <c r="Y227" i="45"/>
  <c r="X227" i="45"/>
  <c r="W227" i="45"/>
  <c r="V227" i="45"/>
  <c r="U227" i="45"/>
  <c r="T227" i="45"/>
  <c r="S227" i="45"/>
  <c r="R227" i="45"/>
  <c r="Q227" i="45"/>
  <c r="P227" i="45"/>
  <c r="O227" i="45"/>
  <c r="N227" i="45"/>
  <c r="M227" i="45"/>
  <c r="L227" i="45"/>
  <c r="K227" i="45"/>
  <c r="J227" i="45"/>
  <c r="I227" i="45"/>
  <c r="H227" i="45"/>
  <c r="G227" i="45"/>
  <c r="F227" i="45"/>
  <c r="E227" i="45"/>
  <c r="D227" i="45"/>
  <c r="C227" i="45"/>
  <c r="B227" i="45"/>
  <c r="AI120" i="45"/>
  <c r="AH120" i="45"/>
  <c r="AI119" i="45"/>
  <c r="AH119" i="45"/>
  <c r="AI118" i="45"/>
  <c r="AH118" i="45"/>
  <c r="AI117" i="45"/>
  <c r="AH117" i="45"/>
  <c r="AI116" i="45"/>
  <c r="AH116" i="45"/>
  <c r="AI115" i="45"/>
  <c r="AH115" i="45"/>
  <c r="AI114" i="45"/>
  <c r="AH114" i="45"/>
  <c r="AI113" i="45"/>
  <c r="AH113" i="45"/>
  <c r="AI112" i="45"/>
  <c r="AH112" i="45"/>
  <c r="AI111" i="45"/>
  <c r="AH111" i="45"/>
  <c r="AF110" i="45"/>
  <c r="AE110" i="45"/>
  <c r="AC110" i="45"/>
  <c r="AB110" i="45"/>
  <c r="X110" i="45"/>
  <c r="W110" i="45"/>
  <c r="R110" i="45"/>
  <c r="Q110" i="45"/>
  <c r="D110" i="45"/>
  <c r="C110" i="45"/>
  <c r="AI109" i="45"/>
  <c r="AH109" i="45"/>
  <c r="AI108" i="45"/>
  <c r="AH108" i="45"/>
  <c r="AI107" i="45"/>
  <c r="AH107" i="45"/>
  <c r="AI106" i="45"/>
  <c r="AH106" i="45"/>
  <c r="AI105" i="45"/>
  <c r="AH105" i="45"/>
  <c r="AI104" i="45"/>
  <c r="AH104" i="45"/>
  <c r="AI103" i="45"/>
  <c r="AH103" i="45"/>
  <c r="AI102" i="45"/>
  <c r="AH102" i="45"/>
  <c r="AI101" i="45"/>
  <c r="AH101" i="45"/>
  <c r="AF99" i="45"/>
  <c r="AE99" i="45"/>
  <c r="AD99" i="45"/>
  <c r="AC99" i="45"/>
  <c r="AB99" i="45"/>
  <c r="X99" i="45"/>
  <c r="W99" i="45"/>
  <c r="R99" i="45"/>
  <c r="Q99" i="45"/>
  <c r="P99" i="45"/>
  <c r="O99" i="45"/>
  <c r="N99" i="45"/>
  <c r="M99" i="45"/>
  <c r="L99" i="45"/>
  <c r="K99" i="45"/>
  <c r="J99" i="45"/>
  <c r="I99" i="45"/>
  <c r="H99" i="45"/>
  <c r="G99" i="45"/>
  <c r="F99" i="45"/>
  <c r="E99" i="45"/>
  <c r="D99" i="45"/>
  <c r="C99" i="45"/>
  <c r="B99" i="45"/>
  <c r="AI98" i="45"/>
  <c r="AH98" i="45"/>
  <c r="AI97" i="45"/>
  <c r="AH97" i="45"/>
  <c r="AI96" i="45"/>
  <c r="AH96" i="45"/>
  <c r="AI95" i="45"/>
  <c r="AH95" i="45"/>
  <c r="AI94" i="45"/>
  <c r="AH94" i="45"/>
  <c r="AI93" i="45"/>
  <c r="AH93" i="45"/>
  <c r="AI90" i="45"/>
  <c r="AH90" i="45"/>
  <c r="AI88" i="45"/>
  <c r="AH88" i="45"/>
  <c r="AG88" i="45"/>
  <c r="AI87" i="45"/>
  <c r="AH87" i="45"/>
  <c r="AI86" i="45"/>
  <c r="AH86" i="45"/>
  <c r="AI85" i="45"/>
  <c r="AH85" i="45"/>
  <c r="AG84" i="45"/>
  <c r="AF84" i="45"/>
  <c r="AE5" i="45" s="1"/>
  <c r="AE84" i="45"/>
  <c r="AD5" i="45" s="1"/>
  <c r="AD84" i="45"/>
  <c r="AC5" i="45" s="1"/>
  <c r="AC84" i="45"/>
  <c r="AC100" i="45" s="1"/>
  <c r="AB84" i="45"/>
  <c r="AB100" i="45" s="1"/>
  <c r="X84" i="45"/>
  <c r="W5" i="45" s="1"/>
  <c r="W84" i="45"/>
  <c r="V5" i="45" s="1"/>
  <c r="U5" i="45"/>
  <c r="R84" i="45"/>
  <c r="R100" i="45" s="1"/>
  <c r="Q84" i="45"/>
  <c r="P5" i="45" s="1"/>
  <c r="P84" i="45"/>
  <c r="O5" i="45" s="1"/>
  <c r="O84" i="45"/>
  <c r="N5" i="45" s="1"/>
  <c r="N84" i="45"/>
  <c r="M5" i="45" s="1"/>
  <c r="M84" i="45"/>
  <c r="M100" i="45" s="1"/>
  <c r="L84" i="45"/>
  <c r="L100" i="45" s="1"/>
  <c r="K84" i="45"/>
  <c r="K100" i="45" s="1"/>
  <c r="J84" i="45"/>
  <c r="J100" i="45" s="1"/>
  <c r="I84" i="45"/>
  <c r="I100" i="45" s="1"/>
  <c r="H84" i="45"/>
  <c r="G5" i="45" s="1"/>
  <c r="G84" i="45"/>
  <c r="F5" i="45" s="1"/>
  <c r="F84" i="45"/>
  <c r="E5" i="45" s="1"/>
  <c r="E84" i="45"/>
  <c r="E100" i="45" s="1"/>
  <c r="D84" i="45"/>
  <c r="D100" i="45" s="1"/>
  <c r="C84" i="45"/>
  <c r="C100" i="45" s="1"/>
  <c r="B84" i="45"/>
  <c r="AI83" i="45"/>
  <c r="AH83" i="45"/>
  <c r="AI82" i="45"/>
  <c r="AH82" i="45"/>
  <c r="AI81" i="45"/>
  <c r="AH81" i="45"/>
  <c r="AI80" i="45"/>
  <c r="AH80" i="45"/>
  <c r="AI79" i="45"/>
  <c r="AH79" i="45"/>
  <c r="AI78" i="45"/>
  <c r="AH78" i="45"/>
  <c r="AI77" i="45"/>
  <c r="AH77" i="45"/>
  <c r="AI76" i="45"/>
  <c r="AH76" i="45"/>
  <c r="AI75" i="45"/>
  <c r="AH75" i="45"/>
  <c r="AI74" i="45"/>
  <c r="AH74" i="45"/>
  <c r="AI73" i="45"/>
  <c r="AH73" i="45"/>
  <c r="AG72" i="45"/>
  <c r="AF72" i="45"/>
  <c r="AE72" i="45"/>
  <c r="AD72" i="45"/>
  <c r="AC72" i="45"/>
  <c r="AB72" i="45"/>
  <c r="X72" i="45"/>
  <c r="W72" i="45"/>
  <c r="R72" i="45"/>
  <c r="Q72" i="45"/>
  <c r="P72" i="45"/>
  <c r="O72" i="45"/>
  <c r="N72" i="45"/>
  <c r="M72" i="45"/>
  <c r="L72" i="45"/>
  <c r="B72" i="45"/>
  <c r="AI72" i="45" s="1"/>
  <c r="AI71" i="45"/>
  <c r="AH71" i="45"/>
  <c r="AI70" i="45"/>
  <c r="AH70" i="45"/>
  <c r="AI69" i="45"/>
  <c r="AH69" i="45"/>
  <c r="AF68" i="45"/>
  <c r="AE68" i="45"/>
  <c r="AD68" i="45"/>
  <c r="AC68" i="45"/>
  <c r="AB68" i="45"/>
  <c r="X68" i="45"/>
  <c r="W68" i="45"/>
  <c r="R68" i="45"/>
  <c r="Q68" i="45"/>
  <c r="P68" i="45"/>
  <c r="O68" i="45"/>
  <c r="N68" i="45"/>
  <c r="M68" i="45"/>
  <c r="L68" i="45"/>
  <c r="K68" i="45"/>
  <c r="J68" i="45"/>
  <c r="I68" i="45"/>
  <c r="H68" i="45"/>
  <c r="G68" i="45"/>
  <c r="F68" i="45"/>
  <c r="E68" i="45"/>
  <c r="D68" i="45"/>
  <c r="C68" i="45"/>
  <c r="B68" i="45"/>
  <c r="AI67" i="45"/>
  <c r="AH67" i="45"/>
  <c r="AG67" i="45"/>
  <c r="AG68" i="45" s="1"/>
  <c r="AI66" i="45"/>
  <c r="AH66" i="45"/>
  <c r="AI65" i="45"/>
  <c r="AH65" i="45"/>
  <c r="AI64" i="45"/>
  <c r="AH64" i="45"/>
  <c r="AI63" i="45"/>
  <c r="AH63" i="45"/>
  <c r="AI62" i="45"/>
  <c r="AH62" i="45"/>
  <c r="AI61" i="45"/>
  <c r="AH61" i="45"/>
  <c r="AI60" i="45"/>
  <c r="AH60" i="45"/>
  <c r="AI59" i="45"/>
  <c r="AH59" i="45"/>
  <c r="AI58" i="45"/>
  <c r="AH58" i="45"/>
  <c r="AI57" i="45"/>
  <c r="AH57" i="45"/>
  <c r="AI56" i="45"/>
  <c r="AH56" i="45"/>
  <c r="AI55" i="45"/>
  <c r="AH55" i="45"/>
  <c r="AG54" i="45"/>
  <c r="AF54" i="45"/>
  <c r="AE54" i="45"/>
  <c r="AD54" i="45"/>
  <c r="AC54" i="45"/>
  <c r="AB54" i="45"/>
  <c r="X54" i="45"/>
  <c r="W54" i="45"/>
  <c r="R54" i="45"/>
  <c r="Q54" i="45"/>
  <c r="P54" i="45"/>
  <c r="O54" i="45"/>
  <c r="N54" i="45"/>
  <c r="M54" i="45"/>
  <c r="L54" i="45"/>
  <c r="K54" i="45"/>
  <c r="J54" i="45"/>
  <c r="I54" i="45"/>
  <c r="H54" i="45"/>
  <c r="G54" i="45"/>
  <c r="F54" i="45"/>
  <c r="E54" i="45"/>
  <c r="D54" i="45"/>
  <c r="C54" i="45"/>
  <c r="B54" i="45"/>
  <c r="AI53" i="45"/>
  <c r="AH53" i="45"/>
  <c r="AI52" i="45"/>
  <c r="AH52" i="45"/>
  <c r="AI51" i="45"/>
  <c r="AH51" i="45"/>
  <c r="AG50" i="45"/>
  <c r="AF50" i="45"/>
  <c r="AE50" i="45"/>
  <c r="AD50" i="45"/>
  <c r="AC50" i="45"/>
  <c r="AB50" i="45"/>
  <c r="X50" i="45"/>
  <c r="W50" i="45"/>
  <c r="R50" i="45"/>
  <c r="Q50" i="45"/>
  <c r="P50" i="45"/>
  <c r="O50" i="45"/>
  <c r="N50" i="45"/>
  <c r="M50" i="45"/>
  <c r="L50" i="45"/>
  <c r="K50" i="45"/>
  <c r="J50" i="45"/>
  <c r="I50" i="45"/>
  <c r="H50" i="45"/>
  <c r="G50" i="45"/>
  <c r="F50" i="45"/>
  <c r="E50" i="45"/>
  <c r="D50" i="45"/>
  <c r="C50" i="45"/>
  <c r="B50" i="45"/>
  <c r="AI49" i="45"/>
  <c r="AH49" i="45"/>
  <c r="AI48" i="45"/>
  <c r="AH48" i="45"/>
  <c r="AI47" i="45"/>
  <c r="AH47" i="45"/>
  <c r="AI46" i="45"/>
  <c r="AH46" i="45"/>
  <c r="AI45" i="45"/>
  <c r="AH45" i="45"/>
  <c r="AI44" i="45"/>
  <c r="AH44" i="45"/>
  <c r="AI43" i="45"/>
  <c r="AH43" i="45"/>
  <c r="AI42" i="45"/>
  <c r="AH42" i="45"/>
  <c r="AI41" i="45"/>
  <c r="AH41" i="45"/>
  <c r="AI40" i="45"/>
  <c r="AH40" i="45"/>
  <c r="AI39" i="45"/>
  <c r="AH39" i="45"/>
  <c r="AI38" i="45"/>
  <c r="AH38" i="45"/>
  <c r="AI37" i="45"/>
  <c r="AH37" i="45"/>
  <c r="AI36" i="45"/>
  <c r="AH36" i="45"/>
  <c r="AI35" i="45"/>
  <c r="AH35" i="45"/>
  <c r="AI34" i="45"/>
  <c r="AH34" i="45"/>
  <c r="AI33" i="45"/>
  <c r="AH33" i="45"/>
  <c r="AI32" i="45"/>
  <c r="AH32" i="45"/>
  <c r="AI31" i="45"/>
  <c r="AH31" i="45"/>
  <c r="AI30" i="45"/>
  <c r="AH30" i="45"/>
  <c r="AI29" i="45"/>
  <c r="AH29" i="45"/>
  <c r="AI28" i="45"/>
  <c r="AH28" i="45"/>
  <c r="AI27" i="45"/>
  <c r="AH27" i="45"/>
  <c r="AI26" i="45"/>
  <c r="AH26" i="45"/>
  <c r="AI25" i="45"/>
  <c r="AH25" i="45"/>
  <c r="AI24" i="45"/>
  <c r="AH24" i="45"/>
  <c r="AI23" i="45"/>
  <c r="AH23" i="45"/>
  <c r="AI22" i="45"/>
  <c r="AH22" i="45"/>
  <c r="AI21" i="45"/>
  <c r="AH21" i="45"/>
  <c r="AI20" i="45"/>
  <c r="AH20" i="45"/>
  <c r="AI19" i="45"/>
  <c r="AH19" i="45"/>
  <c r="AI18" i="45"/>
  <c r="AH18" i="45"/>
  <c r="AI17" i="45"/>
  <c r="AH17" i="45"/>
  <c r="AI16" i="45"/>
  <c r="AH16" i="45"/>
  <c r="AI15" i="45"/>
  <c r="AH15" i="45"/>
  <c r="AI14" i="45"/>
  <c r="AH14" i="45"/>
  <c r="AI13" i="45"/>
  <c r="AH13" i="45"/>
  <c r="AI12" i="45"/>
  <c r="AH12" i="45"/>
  <c r="AI11" i="45"/>
  <c r="AH11" i="45"/>
  <c r="Z5" i="45"/>
  <c r="Y5" i="45"/>
  <c r="X5" i="45"/>
  <c r="S5" i="45"/>
  <c r="R5" i="45"/>
  <c r="AG4" i="45"/>
  <c r="K4" i="45"/>
  <c r="E4" i="45"/>
  <c r="H4" i="45" s="1"/>
  <c r="B4" i="45"/>
  <c r="S246" i="45" s="1"/>
  <c r="Z50" i="44"/>
  <c r="Z54" i="44"/>
  <c r="Z68" i="44"/>
  <c r="Z72" i="44"/>
  <c r="Z84" i="44"/>
  <c r="Z100" i="44" s="1"/>
  <c r="Z99" i="44"/>
  <c r="Z110" i="44"/>
  <c r="Y50" i="44"/>
  <c r="Y54" i="44"/>
  <c r="Y68" i="44"/>
  <c r="Y72" i="44"/>
  <c r="Y84" i="44"/>
  <c r="Y100" i="44" s="1"/>
  <c r="Y99" i="44"/>
  <c r="Y110" i="44"/>
  <c r="X50" i="44"/>
  <c r="X54" i="44"/>
  <c r="X68" i="44"/>
  <c r="X72" i="44"/>
  <c r="X84" i="44"/>
  <c r="X100" i="44" s="1"/>
  <c r="X99" i="44"/>
  <c r="X110" i="44"/>
  <c r="W50" i="44"/>
  <c r="W54" i="44"/>
  <c r="W68" i="44"/>
  <c r="W72" i="44"/>
  <c r="W84" i="44"/>
  <c r="W100" i="44" s="1"/>
  <c r="W99" i="44"/>
  <c r="W110" i="44"/>
  <c r="V50" i="44"/>
  <c r="V54" i="44"/>
  <c r="V68" i="44"/>
  <c r="V72" i="44"/>
  <c r="V84" i="44"/>
  <c r="V100" i="44" s="1"/>
  <c r="V99" i="44"/>
  <c r="V110" i="44"/>
  <c r="U50" i="44"/>
  <c r="U54" i="44"/>
  <c r="U68" i="44"/>
  <c r="U72" i="44"/>
  <c r="U84" i="44"/>
  <c r="U100" i="44" s="1"/>
  <c r="U99" i="44"/>
  <c r="U110" i="44"/>
  <c r="T50" i="44"/>
  <c r="T54" i="44"/>
  <c r="T68" i="44"/>
  <c r="T72" i="44"/>
  <c r="T84" i="44"/>
  <c r="T100" i="44" s="1"/>
  <c r="T99" i="44"/>
  <c r="T110" i="44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B99" i="6"/>
  <c r="C99" i="44"/>
  <c r="D99" i="44"/>
  <c r="E99" i="44"/>
  <c r="F99" i="44"/>
  <c r="G99" i="44"/>
  <c r="H99" i="44"/>
  <c r="I99" i="44"/>
  <c r="J99" i="44"/>
  <c r="K99" i="44"/>
  <c r="L99" i="44"/>
  <c r="M99" i="44"/>
  <c r="N99" i="44"/>
  <c r="O99" i="44"/>
  <c r="P99" i="44"/>
  <c r="Q99" i="44"/>
  <c r="R99" i="44"/>
  <c r="S99" i="44"/>
  <c r="AB99" i="44"/>
  <c r="AC99" i="44"/>
  <c r="AD99" i="44"/>
  <c r="AE99" i="44"/>
  <c r="AF99" i="44"/>
  <c r="B99" i="44"/>
  <c r="S50" i="44"/>
  <c r="S54" i="44"/>
  <c r="S68" i="44"/>
  <c r="S72" i="44"/>
  <c r="S84" i="44"/>
  <c r="S110" i="44"/>
  <c r="AF89" i="45" l="1"/>
  <c r="AF91" i="45" s="1"/>
  <c r="AE100" i="45"/>
  <c r="AE89" i="45"/>
  <c r="AE91" i="45" s="1"/>
  <c r="AW249" i="45" s="1"/>
  <c r="AD100" i="45"/>
  <c r="AD89" i="45"/>
  <c r="AD91" i="45" s="1"/>
  <c r="AV249" i="45" s="1"/>
  <c r="AC89" i="45"/>
  <c r="AC91" i="45" s="1"/>
  <c r="AC7" i="45" s="1"/>
  <c r="AA5" i="45"/>
  <c r="AB89" i="45"/>
  <c r="AB91" i="45" s="1"/>
  <c r="AB7" i="45" s="1"/>
  <c r="X89" i="45"/>
  <c r="X91" i="45" s="1"/>
  <c r="W89" i="45"/>
  <c r="W91" i="45" s="1"/>
  <c r="W100" i="45"/>
  <c r="Q5" i="45"/>
  <c r="R89" i="45"/>
  <c r="R91" i="45" s="1"/>
  <c r="Q100" i="45"/>
  <c r="Q89" i="45"/>
  <c r="Q91" i="45" s="1"/>
  <c r="P89" i="45"/>
  <c r="P91" i="45" s="1"/>
  <c r="O89" i="45"/>
  <c r="O91" i="45" s="1"/>
  <c r="O100" i="45"/>
  <c r="N100" i="45"/>
  <c r="N89" i="45"/>
  <c r="N91" i="45" s="1"/>
  <c r="M89" i="45"/>
  <c r="M91" i="45" s="1"/>
  <c r="M7" i="45" s="1"/>
  <c r="K5" i="45"/>
  <c r="K89" i="45"/>
  <c r="K91" i="45" s="1"/>
  <c r="K92" i="45" s="1"/>
  <c r="J5" i="45"/>
  <c r="L89" i="45"/>
  <c r="L91" i="45" s="1"/>
  <c r="L7" i="45" s="1"/>
  <c r="I5" i="45"/>
  <c r="H5" i="45"/>
  <c r="G100" i="45"/>
  <c r="J89" i="45"/>
  <c r="J91" i="45" s="1"/>
  <c r="J7" i="45" s="1"/>
  <c r="AI99" i="45"/>
  <c r="F100" i="45"/>
  <c r="G89" i="45"/>
  <c r="G91" i="45" s="1"/>
  <c r="G7" i="45" s="1"/>
  <c r="H89" i="45"/>
  <c r="H91" i="45" s="1"/>
  <c r="H92" i="45" s="1"/>
  <c r="I89" i="45"/>
  <c r="I91" i="45" s="1"/>
  <c r="I7" i="45" s="1"/>
  <c r="F89" i="45"/>
  <c r="F91" i="45" s="1"/>
  <c r="X249" i="45" s="1"/>
  <c r="AI68" i="45"/>
  <c r="E89" i="45"/>
  <c r="E91" i="45" s="1"/>
  <c r="W249" i="45" s="1"/>
  <c r="C5" i="45"/>
  <c r="B5" i="45"/>
  <c r="C89" i="45"/>
  <c r="C91" i="45" s="1"/>
  <c r="C92" i="45" s="1"/>
  <c r="AI84" i="45"/>
  <c r="D89" i="45"/>
  <c r="D91" i="45" s="1"/>
  <c r="D7" i="45" s="1"/>
  <c r="AI54" i="45"/>
  <c r="AI50" i="45"/>
  <c r="B89" i="45"/>
  <c r="B91" i="45" s="1"/>
  <c r="B7" i="45" s="1"/>
  <c r="AF5" i="45"/>
  <c r="T7" i="45"/>
  <c r="AL249" i="45"/>
  <c r="AR249" i="45"/>
  <c r="Z7" i="45"/>
  <c r="AA7" i="45"/>
  <c r="AS249" i="45"/>
  <c r="AG249" i="45"/>
  <c r="O92" i="45"/>
  <c r="O7" i="45"/>
  <c r="P92" i="45"/>
  <c r="P7" i="45"/>
  <c r="AH249" i="45"/>
  <c r="AN249" i="45"/>
  <c r="V7" i="45"/>
  <c r="D270" i="45"/>
  <c r="F234" i="45"/>
  <c r="AO249" i="45"/>
  <c r="W92" i="45"/>
  <c r="W7" i="45"/>
  <c r="Q7" i="45"/>
  <c r="Q92" i="45"/>
  <c r="AI249" i="45"/>
  <c r="Y7" i="45"/>
  <c r="AQ249" i="45"/>
  <c r="AG89" i="45"/>
  <c r="K7" i="45"/>
  <c r="AC249" i="45"/>
  <c r="AF249" i="45"/>
  <c r="N92" i="45"/>
  <c r="N7" i="45"/>
  <c r="X92" i="45"/>
  <c r="X7" i="45"/>
  <c r="AP249" i="45"/>
  <c r="U7" i="45"/>
  <c r="AM249" i="45"/>
  <c r="R92" i="45"/>
  <c r="R7" i="45"/>
  <c r="AJ249" i="45"/>
  <c r="J232" i="45"/>
  <c r="K232" i="45" s="1"/>
  <c r="L232" i="45" s="1"/>
  <c r="M232" i="45" s="1"/>
  <c r="N232" i="45" s="1"/>
  <c r="O232" i="45" s="1"/>
  <c r="P232" i="45" s="1"/>
  <c r="AF92" i="45"/>
  <c r="AF7" i="45"/>
  <c r="AX249" i="45"/>
  <c r="AG91" i="45"/>
  <c r="AG3" i="45"/>
  <c r="AC92" i="45"/>
  <c r="S7" i="45"/>
  <c r="AK249" i="45"/>
  <c r="AH50" i="45"/>
  <c r="AH54" i="45"/>
  <c r="D246" i="45"/>
  <c r="AH99" i="45"/>
  <c r="H100" i="45"/>
  <c r="P100" i="45"/>
  <c r="X100" i="45"/>
  <c r="AF100" i="45"/>
  <c r="L5" i="45"/>
  <c r="T5" i="45"/>
  <c r="B100" i="45"/>
  <c r="E229" i="45"/>
  <c r="AH72" i="45"/>
  <c r="AH84" i="45"/>
  <c r="AG2" i="45"/>
  <c r="AG6" i="45" s="1"/>
  <c r="AH68" i="45"/>
  <c r="D5" i="45"/>
  <c r="AB5" i="45"/>
  <c r="B110" i="45"/>
  <c r="Z89" i="44"/>
  <c r="Z91" i="44" s="1"/>
  <c r="Z92" i="44" s="1"/>
  <c r="Y89" i="44"/>
  <c r="Y91" i="44" s="1"/>
  <c r="Y92" i="44" s="1"/>
  <c r="X89" i="44"/>
  <c r="X91" i="44" s="1"/>
  <c r="X92" i="44" s="1"/>
  <c r="W89" i="44"/>
  <c r="W91" i="44" s="1"/>
  <c r="W92" i="44" s="1"/>
  <c r="V89" i="44"/>
  <c r="V91" i="44" s="1"/>
  <c r="V92" i="44" s="1"/>
  <c r="U89" i="44"/>
  <c r="U91" i="44" s="1"/>
  <c r="U92" i="44" s="1"/>
  <c r="T89" i="44"/>
  <c r="T91" i="44" s="1"/>
  <c r="T92" i="44" s="1"/>
  <c r="S100" i="44"/>
  <c r="S89" i="44"/>
  <c r="S91" i="44" s="1"/>
  <c r="S92" i="44" s="1"/>
  <c r="AU249" i="45" l="1"/>
  <c r="AE92" i="45"/>
  <c r="AE7" i="45"/>
  <c r="AD92" i="45"/>
  <c r="AD7" i="45"/>
  <c r="AT249" i="45"/>
  <c r="AB92" i="45"/>
  <c r="M92" i="45"/>
  <c r="AE249" i="45"/>
  <c r="AD249" i="45"/>
  <c r="L92" i="45"/>
  <c r="J92" i="45"/>
  <c r="Z249" i="45"/>
  <c r="AB249" i="45"/>
  <c r="AA249" i="45"/>
  <c r="I92" i="45"/>
  <c r="H7" i="45"/>
  <c r="C244" i="45"/>
  <c r="G92" i="45"/>
  <c r="B244" i="45"/>
  <c r="Y249" i="45"/>
  <c r="C7" i="45"/>
  <c r="T249" i="45"/>
  <c r="F92" i="45"/>
  <c r="F7" i="45"/>
  <c r="E7" i="45"/>
  <c r="E92" i="45"/>
  <c r="AI89" i="45"/>
  <c r="AI91" i="45"/>
  <c r="AH89" i="45"/>
  <c r="D92" i="45"/>
  <c r="V249" i="45"/>
  <c r="U249" i="45"/>
  <c r="B92" i="45"/>
  <c r="AH91" i="45"/>
  <c r="F229" i="45"/>
  <c r="E110" i="45"/>
  <c r="E235" i="45"/>
  <c r="AH100" i="45"/>
  <c r="AI100" i="45"/>
  <c r="E270" i="45"/>
  <c r="G234" i="45"/>
  <c r="Q54" i="44"/>
  <c r="R54" i="44"/>
  <c r="K6" i="45" l="1"/>
  <c r="A7" i="45"/>
  <c r="AI92" i="45"/>
  <c r="AH92" i="45"/>
  <c r="F270" i="45"/>
  <c r="H234" i="45"/>
  <c r="F110" i="45"/>
  <c r="G229" i="45"/>
  <c r="F235" i="45"/>
  <c r="AF274" i="44"/>
  <c r="AE274" i="44"/>
  <c r="AD274" i="44"/>
  <c r="AC274" i="44"/>
  <c r="AB274" i="44"/>
  <c r="AA274" i="44"/>
  <c r="Z274" i="44"/>
  <c r="Y274" i="44"/>
  <c r="X274" i="44"/>
  <c r="W274" i="44"/>
  <c r="V274" i="44"/>
  <c r="U274" i="44"/>
  <c r="T274" i="44"/>
  <c r="S274" i="44"/>
  <c r="R274" i="44"/>
  <c r="Q274" i="44"/>
  <c r="P274" i="44"/>
  <c r="O274" i="44"/>
  <c r="N274" i="44"/>
  <c r="M274" i="44"/>
  <c r="L274" i="44"/>
  <c r="K274" i="44"/>
  <c r="J274" i="44"/>
  <c r="I274" i="44"/>
  <c r="H274" i="44"/>
  <c r="G274" i="44"/>
  <c r="F274" i="44"/>
  <c r="E274" i="44"/>
  <c r="D274" i="44"/>
  <c r="C274" i="44"/>
  <c r="B274" i="44"/>
  <c r="A274" i="44"/>
  <c r="AF273" i="44"/>
  <c r="AE273" i="44"/>
  <c r="AD273" i="44"/>
  <c r="AC273" i="44"/>
  <c r="AB273" i="44"/>
  <c r="AA273" i="44"/>
  <c r="Z273" i="44"/>
  <c r="Y273" i="44"/>
  <c r="X273" i="44"/>
  <c r="W273" i="44"/>
  <c r="V273" i="44"/>
  <c r="U273" i="44"/>
  <c r="T273" i="44"/>
  <c r="S273" i="44"/>
  <c r="R273" i="44"/>
  <c r="Q273" i="44"/>
  <c r="P273" i="44"/>
  <c r="O273" i="44"/>
  <c r="N273" i="44"/>
  <c r="M273" i="44"/>
  <c r="L273" i="44"/>
  <c r="K273" i="44"/>
  <c r="J273" i="44"/>
  <c r="I273" i="44"/>
  <c r="H273" i="44"/>
  <c r="G273" i="44"/>
  <c r="F273" i="44"/>
  <c r="E273" i="44"/>
  <c r="D273" i="44"/>
  <c r="C273" i="44"/>
  <c r="B273" i="44"/>
  <c r="A273" i="44"/>
  <c r="AF272" i="44"/>
  <c r="AE272" i="44"/>
  <c r="AD272" i="44"/>
  <c r="AC272" i="44"/>
  <c r="AB272" i="44"/>
  <c r="AA272" i="44"/>
  <c r="Z272" i="44"/>
  <c r="Y272" i="44"/>
  <c r="X272" i="44"/>
  <c r="W272" i="44"/>
  <c r="V272" i="44"/>
  <c r="U272" i="44"/>
  <c r="T272" i="44"/>
  <c r="S272" i="44"/>
  <c r="R272" i="44"/>
  <c r="Q272" i="44"/>
  <c r="P272" i="44"/>
  <c r="O272" i="44"/>
  <c r="N272" i="44"/>
  <c r="M272" i="44"/>
  <c r="L272" i="44"/>
  <c r="K272" i="44"/>
  <c r="J272" i="44"/>
  <c r="I272" i="44"/>
  <c r="H272" i="44"/>
  <c r="G272" i="44"/>
  <c r="F272" i="44"/>
  <c r="E272" i="44"/>
  <c r="D272" i="44"/>
  <c r="C272" i="44"/>
  <c r="B272" i="44"/>
  <c r="A272" i="44"/>
  <c r="AF271" i="44"/>
  <c r="AE271" i="44"/>
  <c r="AD271" i="44"/>
  <c r="AC271" i="44"/>
  <c r="AB271" i="44"/>
  <c r="AA271" i="44"/>
  <c r="Z271" i="44"/>
  <c r="Y271" i="44"/>
  <c r="X271" i="44"/>
  <c r="W271" i="44"/>
  <c r="V271" i="44"/>
  <c r="U271" i="44"/>
  <c r="T271" i="44"/>
  <c r="S271" i="44"/>
  <c r="R271" i="44"/>
  <c r="Q271" i="44"/>
  <c r="P271" i="44"/>
  <c r="O271" i="44"/>
  <c r="N271" i="44"/>
  <c r="M271" i="44"/>
  <c r="L271" i="44"/>
  <c r="K271" i="44"/>
  <c r="J271" i="44"/>
  <c r="I271" i="44"/>
  <c r="H271" i="44"/>
  <c r="G271" i="44"/>
  <c r="F271" i="44"/>
  <c r="E271" i="44"/>
  <c r="D271" i="44"/>
  <c r="C271" i="44"/>
  <c r="B271" i="44"/>
  <c r="A271" i="44"/>
  <c r="AE270" i="44"/>
  <c r="AD270" i="44"/>
  <c r="AC270" i="44"/>
  <c r="AB270" i="44"/>
  <c r="AA270" i="44"/>
  <c r="Z270" i="44"/>
  <c r="Y270" i="44"/>
  <c r="X270" i="44"/>
  <c r="W270" i="44"/>
  <c r="V270" i="44"/>
  <c r="U270" i="44"/>
  <c r="T270" i="44"/>
  <c r="S270" i="44"/>
  <c r="R270" i="44"/>
  <c r="Q270" i="44"/>
  <c r="P270" i="44"/>
  <c r="B270" i="44"/>
  <c r="S245" i="44"/>
  <c r="AG235" i="44"/>
  <c r="AF235" i="44"/>
  <c r="AE235" i="44"/>
  <c r="AD235" i="44"/>
  <c r="AC235" i="44"/>
  <c r="AB235" i="44"/>
  <c r="AA235" i="44"/>
  <c r="Z235" i="44"/>
  <c r="Y235" i="44"/>
  <c r="X235" i="44"/>
  <c r="W235" i="44"/>
  <c r="V235" i="44"/>
  <c r="U235" i="44"/>
  <c r="T235" i="44"/>
  <c r="S235" i="44"/>
  <c r="R235" i="44"/>
  <c r="Q235" i="44"/>
  <c r="C235" i="44"/>
  <c r="D234" i="44"/>
  <c r="C270" i="44" s="1"/>
  <c r="B234" i="44"/>
  <c r="AF270" i="44" s="1"/>
  <c r="E233" i="44"/>
  <c r="F233" i="44" s="1"/>
  <c r="G233" i="44" s="1"/>
  <c r="H233" i="44" s="1"/>
  <c r="I233" i="44" s="1"/>
  <c r="J233" i="44" s="1"/>
  <c r="K233" i="44" s="1"/>
  <c r="L233" i="44" s="1"/>
  <c r="M233" i="44" s="1"/>
  <c r="N233" i="44" s="1"/>
  <c r="O233" i="44" s="1"/>
  <c r="P233" i="44" s="1"/>
  <c r="D233" i="44"/>
  <c r="B233" i="44"/>
  <c r="E232" i="44"/>
  <c r="F232" i="44" s="1"/>
  <c r="G232" i="44" s="1"/>
  <c r="H232" i="44" s="1"/>
  <c r="I232" i="44" s="1"/>
  <c r="D232" i="44"/>
  <c r="B232" i="44"/>
  <c r="F231" i="44"/>
  <c r="G231" i="44" s="1"/>
  <c r="H231" i="44" s="1"/>
  <c r="E231" i="44"/>
  <c r="D231" i="44"/>
  <c r="B231" i="44"/>
  <c r="D230" i="44"/>
  <c r="D235" i="44" s="1"/>
  <c r="B230" i="44"/>
  <c r="E229" i="44"/>
  <c r="F229" i="44" s="1"/>
  <c r="D229" i="44"/>
  <c r="B229" i="44"/>
  <c r="B110" i="44" s="1"/>
  <c r="AG227" i="44"/>
  <c r="AF227" i="44"/>
  <c r="AE227" i="44"/>
  <c r="AD227" i="44"/>
  <c r="AC227" i="44"/>
  <c r="AB227" i="44"/>
  <c r="AA227" i="44"/>
  <c r="Z227" i="44"/>
  <c r="Y227" i="44"/>
  <c r="X227" i="44"/>
  <c r="W227" i="44"/>
  <c r="V227" i="44"/>
  <c r="U227" i="44"/>
  <c r="T227" i="44"/>
  <c r="S227" i="44"/>
  <c r="R227" i="44"/>
  <c r="Q227" i="44"/>
  <c r="P227" i="44"/>
  <c r="O227" i="44"/>
  <c r="N227" i="44"/>
  <c r="M227" i="44"/>
  <c r="L227" i="44"/>
  <c r="K227" i="44"/>
  <c r="J227" i="44"/>
  <c r="I227" i="44"/>
  <c r="H227" i="44"/>
  <c r="G227" i="44"/>
  <c r="F227" i="44"/>
  <c r="E227" i="44"/>
  <c r="D227" i="44"/>
  <c r="C227" i="44"/>
  <c r="B227" i="44"/>
  <c r="AI120" i="44"/>
  <c r="AH120" i="44"/>
  <c r="AI119" i="44"/>
  <c r="AH119" i="44"/>
  <c r="AI118" i="44"/>
  <c r="AH118" i="44"/>
  <c r="AI117" i="44"/>
  <c r="AH117" i="44"/>
  <c r="AI116" i="44"/>
  <c r="AH116" i="44"/>
  <c r="AI115" i="44"/>
  <c r="AH115" i="44"/>
  <c r="AI114" i="44"/>
  <c r="AH114" i="44"/>
  <c r="AI113" i="44"/>
  <c r="AH113" i="44"/>
  <c r="AI112" i="44"/>
  <c r="AH112" i="44"/>
  <c r="AI111" i="44"/>
  <c r="AH111" i="44"/>
  <c r="AF110" i="44"/>
  <c r="AE110" i="44"/>
  <c r="AC110" i="44"/>
  <c r="AB110" i="44"/>
  <c r="R110" i="44"/>
  <c r="Q110" i="44"/>
  <c r="D110" i="44"/>
  <c r="C110" i="44"/>
  <c r="AI109" i="44"/>
  <c r="AH109" i="44"/>
  <c r="AI108" i="44"/>
  <c r="AH108" i="44"/>
  <c r="AI107" i="44"/>
  <c r="AH107" i="44"/>
  <c r="AI106" i="44"/>
  <c r="AH106" i="44"/>
  <c r="AI105" i="44"/>
  <c r="AH105" i="44"/>
  <c r="AI104" i="44"/>
  <c r="AH104" i="44"/>
  <c r="AI103" i="44"/>
  <c r="AH103" i="44"/>
  <c r="AI102" i="44"/>
  <c r="AH102" i="44"/>
  <c r="AI101" i="44"/>
  <c r="AH101" i="44"/>
  <c r="AI99" i="44"/>
  <c r="AH99" i="44"/>
  <c r="AI98" i="44"/>
  <c r="AH98" i="44"/>
  <c r="AI97" i="44"/>
  <c r="AH97" i="44"/>
  <c r="AI96" i="44"/>
  <c r="AH96" i="44"/>
  <c r="AI95" i="44"/>
  <c r="AH95" i="44"/>
  <c r="AI94" i="44"/>
  <c r="AH94" i="44"/>
  <c r="AI93" i="44"/>
  <c r="AH93" i="44"/>
  <c r="AI90" i="44"/>
  <c r="AH90" i="44"/>
  <c r="AI88" i="44"/>
  <c r="AH88" i="44"/>
  <c r="AG88" i="44"/>
  <c r="AG91" i="44" s="1"/>
  <c r="AI87" i="44"/>
  <c r="AH87" i="44"/>
  <c r="AI86" i="44"/>
  <c r="AH86" i="44"/>
  <c r="AI85" i="44"/>
  <c r="AH85" i="44"/>
  <c r="AG84" i="44"/>
  <c r="AF84" i="44"/>
  <c r="AF100" i="44" s="1"/>
  <c r="AE84" i="44"/>
  <c r="AD5" i="44" s="1"/>
  <c r="AD84" i="44"/>
  <c r="AD100" i="44" s="1"/>
  <c r="AC84" i="44"/>
  <c r="AC100" i="44" s="1"/>
  <c r="AB84" i="44"/>
  <c r="AB100" i="44" s="1"/>
  <c r="Y5" i="44"/>
  <c r="V5" i="44"/>
  <c r="R84" i="44"/>
  <c r="Q5" i="44" s="1"/>
  <c r="Q84" i="44"/>
  <c r="Q100" i="44" s="1"/>
  <c r="P84" i="44"/>
  <c r="P100" i="44" s="1"/>
  <c r="O84" i="44"/>
  <c r="N5" i="44" s="1"/>
  <c r="N84" i="44"/>
  <c r="N100" i="44" s="1"/>
  <c r="M84" i="44"/>
  <c r="M100" i="44" s="1"/>
  <c r="L84" i="44"/>
  <c r="L100" i="44" s="1"/>
  <c r="K84" i="44"/>
  <c r="K100" i="44" s="1"/>
  <c r="J84" i="44"/>
  <c r="I5" i="44" s="1"/>
  <c r="I84" i="44"/>
  <c r="I100" i="44" s="1"/>
  <c r="H84" i="44"/>
  <c r="H100" i="44" s="1"/>
  <c r="G84" i="44"/>
  <c r="F5" i="44" s="1"/>
  <c r="F84" i="44"/>
  <c r="F100" i="44" s="1"/>
  <c r="E84" i="44"/>
  <c r="E100" i="44" s="1"/>
  <c r="D84" i="44"/>
  <c r="D100" i="44" s="1"/>
  <c r="C84" i="44"/>
  <c r="C100" i="44" s="1"/>
  <c r="B84" i="44"/>
  <c r="B100" i="44" s="1"/>
  <c r="AI83" i="44"/>
  <c r="AH83" i="44"/>
  <c r="AI82" i="44"/>
  <c r="AH82" i="44"/>
  <c r="AI81" i="44"/>
  <c r="AH81" i="44"/>
  <c r="AI80" i="44"/>
  <c r="AH80" i="44"/>
  <c r="AI79" i="44"/>
  <c r="AH79" i="44"/>
  <c r="AI78" i="44"/>
  <c r="AH78" i="44"/>
  <c r="AI77" i="44"/>
  <c r="AH77" i="44"/>
  <c r="AI76" i="44"/>
  <c r="AH76" i="44"/>
  <c r="AI75" i="44"/>
  <c r="AH75" i="44"/>
  <c r="AI74" i="44"/>
  <c r="AH74" i="44"/>
  <c r="AI73" i="44"/>
  <c r="AH73" i="44"/>
  <c r="AG72" i="44"/>
  <c r="AF72" i="44"/>
  <c r="AE72" i="44"/>
  <c r="AD72" i="44"/>
  <c r="AC72" i="44"/>
  <c r="AB72" i="44"/>
  <c r="R72" i="44"/>
  <c r="Q72" i="44"/>
  <c r="P72" i="44"/>
  <c r="O72" i="44"/>
  <c r="N72" i="44"/>
  <c r="M72" i="44"/>
  <c r="L72" i="44"/>
  <c r="B72" i="44"/>
  <c r="AI71" i="44"/>
  <c r="AH71" i="44"/>
  <c r="AI70" i="44"/>
  <c r="AH70" i="44"/>
  <c r="AI69" i="44"/>
  <c r="AH69" i="44"/>
  <c r="AG68" i="44"/>
  <c r="AG89" i="44" s="1"/>
  <c r="AF68" i="44"/>
  <c r="AE68" i="44"/>
  <c r="AD68" i="44"/>
  <c r="AC68" i="44"/>
  <c r="AB68" i="44"/>
  <c r="R68" i="44"/>
  <c r="Q68" i="44"/>
  <c r="P68" i="44"/>
  <c r="O68" i="44"/>
  <c r="N68" i="44"/>
  <c r="M68" i="44"/>
  <c r="L68" i="44"/>
  <c r="K68" i="44"/>
  <c r="J68" i="44"/>
  <c r="I68" i="44"/>
  <c r="H68" i="44"/>
  <c r="G68" i="44"/>
  <c r="F68" i="44"/>
  <c r="E68" i="44"/>
  <c r="D68" i="44"/>
  <c r="C68" i="44"/>
  <c r="B68" i="44"/>
  <c r="AI67" i="44"/>
  <c r="AH67" i="44"/>
  <c r="AG67" i="44"/>
  <c r="AI66" i="44"/>
  <c r="AH66" i="44"/>
  <c r="AI65" i="44"/>
  <c r="AH65" i="44"/>
  <c r="AI64" i="44"/>
  <c r="AH64" i="44"/>
  <c r="AI63" i="44"/>
  <c r="AH63" i="44"/>
  <c r="AI62" i="44"/>
  <c r="AH62" i="44"/>
  <c r="AI61" i="44"/>
  <c r="AH61" i="44"/>
  <c r="AI60" i="44"/>
  <c r="AH60" i="44"/>
  <c r="AI59" i="44"/>
  <c r="AH59" i="44"/>
  <c r="AI58" i="44"/>
  <c r="AH58" i="44"/>
  <c r="AI57" i="44"/>
  <c r="AH57" i="44"/>
  <c r="AI56" i="44"/>
  <c r="AH56" i="44"/>
  <c r="AI55" i="44"/>
  <c r="AH55" i="44"/>
  <c r="AG54" i="44"/>
  <c r="AF54" i="44"/>
  <c r="AE54" i="44"/>
  <c r="AD54" i="44"/>
  <c r="AC54" i="44"/>
  <c r="AB54" i="44"/>
  <c r="P54" i="44"/>
  <c r="O54" i="44"/>
  <c r="N54" i="44"/>
  <c r="M54" i="44"/>
  <c r="L54" i="44"/>
  <c r="K54" i="44"/>
  <c r="J54" i="44"/>
  <c r="I54" i="44"/>
  <c r="H54" i="44"/>
  <c r="G54" i="44"/>
  <c r="F54" i="44"/>
  <c r="E54" i="44"/>
  <c r="D54" i="44"/>
  <c r="C54" i="44"/>
  <c r="B54" i="44"/>
  <c r="AI53" i="44"/>
  <c r="AH53" i="44"/>
  <c r="AI52" i="44"/>
  <c r="AH52" i="44"/>
  <c r="AI51" i="44"/>
  <c r="AH51" i="44"/>
  <c r="AG50" i="44"/>
  <c r="AF50" i="44"/>
  <c r="AE50" i="44"/>
  <c r="AD50" i="44"/>
  <c r="AC50" i="44"/>
  <c r="AB50" i="44"/>
  <c r="R50" i="44"/>
  <c r="Q50" i="44"/>
  <c r="P50" i="44"/>
  <c r="O50" i="44"/>
  <c r="N50" i="44"/>
  <c r="M50" i="44"/>
  <c r="L50" i="44"/>
  <c r="K50" i="44"/>
  <c r="J50" i="44"/>
  <c r="I50" i="44"/>
  <c r="H50" i="44"/>
  <c r="G50" i="44"/>
  <c r="F50" i="44"/>
  <c r="E50" i="44"/>
  <c r="D50" i="44"/>
  <c r="C50" i="44"/>
  <c r="B50" i="44"/>
  <c r="AI49" i="44"/>
  <c r="AH49" i="44"/>
  <c r="AI48" i="44"/>
  <c r="AH48" i="44"/>
  <c r="AI47" i="44"/>
  <c r="AH47" i="44"/>
  <c r="AI46" i="44"/>
  <c r="AH46" i="44"/>
  <c r="AI45" i="44"/>
  <c r="AH45" i="44"/>
  <c r="AI44" i="44"/>
  <c r="AH44" i="44"/>
  <c r="AI43" i="44"/>
  <c r="AH43" i="44"/>
  <c r="AI42" i="44"/>
  <c r="AH42" i="44"/>
  <c r="AI41" i="44"/>
  <c r="AH41" i="44"/>
  <c r="AI40" i="44"/>
  <c r="AH40" i="44"/>
  <c r="AI39" i="44"/>
  <c r="AH39" i="44"/>
  <c r="AI38" i="44"/>
  <c r="AH38" i="44"/>
  <c r="AI37" i="44"/>
  <c r="AH37" i="44"/>
  <c r="AI36" i="44"/>
  <c r="AH36" i="44"/>
  <c r="AI35" i="44"/>
  <c r="AH35" i="44"/>
  <c r="AI34" i="44"/>
  <c r="AH34" i="44"/>
  <c r="AI33" i="44"/>
  <c r="AH33" i="44"/>
  <c r="AI32" i="44"/>
  <c r="AH32" i="44"/>
  <c r="AI31" i="44"/>
  <c r="AH31" i="44"/>
  <c r="AI30" i="44"/>
  <c r="AH30" i="44"/>
  <c r="AI29" i="44"/>
  <c r="AH29" i="44"/>
  <c r="AI28" i="44"/>
  <c r="AH28" i="44"/>
  <c r="AI27" i="44"/>
  <c r="AH27" i="44"/>
  <c r="AI26" i="44"/>
  <c r="AH26" i="44"/>
  <c r="AI25" i="44"/>
  <c r="AH25" i="44"/>
  <c r="AI24" i="44"/>
  <c r="AH24" i="44"/>
  <c r="AI23" i="44"/>
  <c r="AH23" i="44"/>
  <c r="AI22" i="44"/>
  <c r="AH22" i="44"/>
  <c r="AI21" i="44"/>
  <c r="AH21" i="44"/>
  <c r="AI20" i="44"/>
  <c r="AH20" i="44"/>
  <c r="AI19" i="44"/>
  <c r="AH19" i="44"/>
  <c r="AI18" i="44"/>
  <c r="AH18" i="44"/>
  <c r="AI17" i="44"/>
  <c r="AH17" i="44"/>
  <c r="AI16" i="44"/>
  <c r="AH16" i="44"/>
  <c r="AI15" i="44"/>
  <c r="AH15" i="44"/>
  <c r="AI14" i="44"/>
  <c r="AH14" i="44"/>
  <c r="AI13" i="44"/>
  <c r="AH13" i="44"/>
  <c r="AI12" i="44"/>
  <c r="AH12" i="44"/>
  <c r="AI11" i="44"/>
  <c r="AH11" i="44"/>
  <c r="Z5" i="44"/>
  <c r="X5" i="44"/>
  <c r="W5" i="44"/>
  <c r="U5" i="44"/>
  <c r="T5" i="44"/>
  <c r="R5" i="44"/>
  <c r="AG4" i="44"/>
  <c r="K4" i="44"/>
  <c r="E4" i="44"/>
  <c r="H4" i="44" s="1"/>
  <c r="B4" i="44"/>
  <c r="D246" i="44" s="1"/>
  <c r="AG2" i="44"/>
  <c r="Z49" i="43"/>
  <c r="Y72" i="43"/>
  <c r="X50" i="43"/>
  <c r="X54" i="43"/>
  <c r="H229" i="45" l="1"/>
  <c r="G235" i="45"/>
  <c r="G110" i="45"/>
  <c r="G270" i="45"/>
  <c r="I234" i="45"/>
  <c r="AF89" i="44"/>
  <c r="AF91" i="44" s="1"/>
  <c r="AE5" i="44"/>
  <c r="AE89" i="44"/>
  <c r="AE91" i="44" s="1"/>
  <c r="AE92" i="44" s="1"/>
  <c r="AC5" i="44"/>
  <c r="AC89" i="44"/>
  <c r="AC91" i="44" s="1"/>
  <c r="AC7" i="44" s="1"/>
  <c r="AB5" i="44"/>
  <c r="AD89" i="44"/>
  <c r="AD91" i="44" s="1"/>
  <c r="AD92" i="44" s="1"/>
  <c r="AH72" i="44"/>
  <c r="AI72" i="44"/>
  <c r="AB89" i="44"/>
  <c r="AB91" i="44" s="1"/>
  <c r="AB92" i="44" s="1"/>
  <c r="R89" i="44"/>
  <c r="R91" i="44" s="1"/>
  <c r="P5" i="44"/>
  <c r="Q89" i="44"/>
  <c r="Q91" i="44" s="1"/>
  <c r="Q7" i="44" s="1"/>
  <c r="P89" i="44"/>
  <c r="P91" i="44" s="1"/>
  <c r="P92" i="44" s="1"/>
  <c r="O5" i="44"/>
  <c r="O89" i="44"/>
  <c r="O91" i="44" s="1"/>
  <c r="AG249" i="44" s="1"/>
  <c r="N89" i="44"/>
  <c r="N91" i="44" s="1"/>
  <c r="AF249" i="44" s="1"/>
  <c r="M5" i="44"/>
  <c r="L5" i="44"/>
  <c r="M89" i="44"/>
  <c r="M91" i="44" s="1"/>
  <c r="M92" i="44" s="1"/>
  <c r="L89" i="44"/>
  <c r="L91" i="44" s="1"/>
  <c r="L92" i="44" s="1"/>
  <c r="J5" i="44"/>
  <c r="K89" i="44"/>
  <c r="K91" i="44" s="1"/>
  <c r="AC249" i="44" s="1"/>
  <c r="J89" i="44"/>
  <c r="J91" i="44" s="1"/>
  <c r="J92" i="44" s="1"/>
  <c r="H5" i="44"/>
  <c r="I89" i="44"/>
  <c r="I91" i="44" s="1"/>
  <c r="G5" i="44"/>
  <c r="H89" i="44"/>
  <c r="H91" i="44" s="1"/>
  <c r="H92" i="44" s="1"/>
  <c r="AH68" i="44"/>
  <c r="G89" i="44"/>
  <c r="G91" i="44" s="1"/>
  <c r="G7" i="44" s="1"/>
  <c r="E5" i="44"/>
  <c r="F89" i="44"/>
  <c r="F91" i="44" s="1"/>
  <c r="F7" i="44" s="1"/>
  <c r="D5" i="44"/>
  <c r="E89" i="44"/>
  <c r="E91" i="44" s="1"/>
  <c r="E92" i="44" s="1"/>
  <c r="D89" i="44"/>
  <c r="D91" i="44" s="1"/>
  <c r="D92" i="44" s="1"/>
  <c r="AI54" i="44"/>
  <c r="B5" i="44"/>
  <c r="C89" i="44"/>
  <c r="C91" i="44" s="1"/>
  <c r="AH54" i="44"/>
  <c r="AH50" i="44"/>
  <c r="AI68" i="44"/>
  <c r="U249" i="44"/>
  <c r="C7" i="44"/>
  <c r="C92" i="44"/>
  <c r="AL249" i="44"/>
  <c r="T7" i="44"/>
  <c r="AO249" i="44"/>
  <c r="W7" i="44"/>
  <c r="U7" i="44"/>
  <c r="AM249" i="44"/>
  <c r="AC92" i="44"/>
  <c r="AU249" i="44"/>
  <c r="AK249" i="44"/>
  <c r="S7" i="44"/>
  <c r="AN249" i="44"/>
  <c r="V7" i="44"/>
  <c r="AW249" i="44"/>
  <c r="AE7" i="44"/>
  <c r="AP249" i="44"/>
  <c r="X7" i="44"/>
  <c r="AA7" i="44"/>
  <c r="AS249" i="44"/>
  <c r="H7" i="44"/>
  <c r="Z249" i="44"/>
  <c r="AF92" i="44"/>
  <c r="AF7" i="44"/>
  <c r="AX249" i="44"/>
  <c r="G92" i="44"/>
  <c r="G229" i="44"/>
  <c r="J232" i="44"/>
  <c r="K232" i="44" s="1"/>
  <c r="L232" i="44" s="1"/>
  <c r="M232" i="44" s="1"/>
  <c r="N232" i="44" s="1"/>
  <c r="O232" i="44" s="1"/>
  <c r="P232" i="44" s="1"/>
  <c r="R92" i="44"/>
  <c r="AJ249" i="44"/>
  <c r="R7" i="44"/>
  <c r="AR249" i="44"/>
  <c r="Z7" i="44"/>
  <c r="AQ249" i="44"/>
  <c r="Y7" i="44"/>
  <c r="G100" i="44"/>
  <c r="O100" i="44"/>
  <c r="AE100" i="44"/>
  <c r="C5" i="44"/>
  <c r="K5" i="44"/>
  <c r="S5" i="44"/>
  <c r="AA5" i="44"/>
  <c r="E110" i="44"/>
  <c r="E230" i="44"/>
  <c r="F230" i="44" s="1"/>
  <c r="G230" i="44" s="1"/>
  <c r="H230" i="44" s="1"/>
  <c r="I230" i="44" s="1"/>
  <c r="J230" i="44" s="1"/>
  <c r="K230" i="44" s="1"/>
  <c r="L230" i="44" s="1"/>
  <c r="M230" i="44" s="1"/>
  <c r="N230" i="44" s="1"/>
  <c r="O230" i="44" s="1"/>
  <c r="P230" i="44" s="1"/>
  <c r="E234" i="44"/>
  <c r="S246" i="44"/>
  <c r="AI50" i="44"/>
  <c r="AG3" i="44"/>
  <c r="AG6" i="44" s="1"/>
  <c r="AI84" i="44"/>
  <c r="B235" i="44"/>
  <c r="AF5" i="44"/>
  <c r="B89" i="44"/>
  <c r="AH84" i="44"/>
  <c r="J100" i="44"/>
  <c r="R100" i="44"/>
  <c r="W50" i="43"/>
  <c r="W54" i="43"/>
  <c r="H270" i="45" l="1"/>
  <c r="J234" i="45"/>
  <c r="I229" i="45"/>
  <c r="H110" i="45"/>
  <c r="H235" i="45"/>
  <c r="AD7" i="44"/>
  <c r="AV249" i="44"/>
  <c r="AB7" i="44"/>
  <c r="AT249" i="44"/>
  <c r="AI249" i="44"/>
  <c r="Q92" i="44"/>
  <c r="P7" i="44"/>
  <c r="AH249" i="44"/>
  <c r="O7" i="44"/>
  <c r="O92" i="44"/>
  <c r="N92" i="44"/>
  <c r="N7" i="44"/>
  <c r="M7" i="44"/>
  <c r="AE249" i="44"/>
  <c r="L7" i="44"/>
  <c r="AD249" i="44"/>
  <c r="AH100" i="44"/>
  <c r="J7" i="44"/>
  <c r="AB249" i="44"/>
  <c r="K7" i="44"/>
  <c r="K92" i="44"/>
  <c r="B244" i="44"/>
  <c r="I7" i="44"/>
  <c r="AA249" i="44"/>
  <c r="I92" i="44"/>
  <c r="AI100" i="44"/>
  <c r="C244" i="44"/>
  <c r="Y249" i="44"/>
  <c r="F92" i="44"/>
  <c r="X249" i="44"/>
  <c r="W249" i="44"/>
  <c r="E7" i="44"/>
  <c r="D7" i="44"/>
  <c r="V249" i="44"/>
  <c r="H229" i="44"/>
  <c r="E235" i="44"/>
  <c r="AI89" i="44"/>
  <c r="AH89" i="44"/>
  <c r="B91" i="44"/>
  <c r="D270" i="44"/>
  <c r="F234" i="44"/>
  <c r="M49" i="43"/>
  <c r="L113" i="43"/>
  <c r="L49" i="43"/>
  <c r="K113" i="43"/>
  <c r="K49" i="43"/>
  <c r="J113" i="43"/>
  <c r="J49" i="43"/>
  <c r="I113" i="43"/>
  <c r="I49" i="43"/>
  <c r="H113" i="43"/>
  <c r="H49" i="43"/>
  <c r="G113" i="43"/>
  <c r="G49" i="43"/>
  <c r="F113" i="43"/>
  <c r="F49" i="43"/>
  <c r="E113" i="43"/>
  <c r="E49" i="43"/>
  <c r="D113" i="43"/>
  <c r="D49" i="43"/>
  <c r="D50" i="43"/>
  <c r="D54" i="43"/>
  <c r="D68" i="43"/>
  <c r="D72" i="43"/>
  <c r="D84" i="43"/>
  <c r="D100" i="43" s="1"/>
  <c r="D110" i="43"/>
  <c r="C113" i="43"/>
  <c r="C49" i="43"/>
  <c r="C50" i="43"/>
  <c r="C54" i="43"/>
  <c r="C68" i="43"/>
  <c r="C72" i="43"/>
  <c r="C84" i="43"/>
  <c r="C100" i="43" s="1"/>
  <c r="B113" i="43"/>
  <c r="B110" i="43"/>
  <c r="B84" i="43"/>
  <c r="B100" i="43" s="1"/>
  <c r="B72" i="43"/>
  <c r="B68" i="43"/>
  <c r="B54" i="43"/>
  <c r="B50" i="43"/>
  <c r="B49" i="43"/>
  <c r="AF274" i="43"/>
  <c r="AE274" i="43"/>
  <c r="AD274" i="43"/>
  <c r="AC274" i="43"/>
  <c r="AB274" i="43"/>
  <c r="AA274" i="43"/>
  <c r="Z274" i="43"/>
  <c r="Y274" i="43"/>
  <c r="X274" i="43"/>
  <c r="W274" i="43"/>
  <c r="V274" i="43"/>
  <c r="U274" i="43"/>
  <c r="T274" i="43"/>
  <c r="S274" i="43"/>
  <c r="R274" i="43"/>
  <c r="Q274" i="43"/>
  <c r="P274" i="43"/>
  <c r="O274" i="43"/>
  <c r="N274" i="43"/>
  <c r="M274" i="43"/>
  <c r="L274" i="43"/>
  <c r="K274" i="43"/>
  <c r="J274" i="43"/>
  <c r="I274" i="43"/>
  <c r="H274" i="43"/>
  <c r="G274" i="43"/>
  <c r="F274" i="43"/>
  <c r="E274" i="43"/>
  <c r="D274" i="43"/>
  <c r="C274" i="43"/>
  <c r="B274" i="43"/>
  <c r="A274" i="43"/>
  <c r="AF273" i="43"/>
  <c r="AE273" i="43"/>
  <c r="AD273" i="43"/>
  <c r="AC273" i="43"/>
  <c r="AB273" i="43"/>
  <c r="AA273" i="43"/>
  <c r="Z273" i="43"/>
  <c r="Y273" i="43"/>
  <c r="X273" i="43"/>
  <c r="W273" i="43"/>
  <c r="V273" i="43"/>
  <c r="U273" i="43"/>
  <c r="T273" i="43"/>
  <c r="S273" i="43"/>
  <c r="R273" i="43"/>
  <c r="Q273" i="43"/>
  <c r="P273" i="43"/>
  <c r="O273" i="43"/>
  <c r="N273" i="43"/>
  <c r="M273" i="43"/>
  <c r="L273" i="43"/>
  <c r="K273" i="43"/>
  <c r="J273" i="43"/>
  <c r="I273" i="43"/>
  <c r="H273" i="43"/>
  <c r="G273" i="43"/>
  <c r="F273" i="43"/>
  <c r="E273" i="43"/>
  <c r="D273" i="43"/>
  <c r="C273" i="43"/>
  <c r="B273" i="43"/>
  <c r="A273" i="43"/>
  <c r="AF272" i="43"/>
  <c r="AE272" i="43"/>
  <c r="AD272" i="43"/>
  <c r="AC272" i="43"/>
  <c r="AB272" i="43"/>
  <c r="AA272" i="43"/>
  <c r="Z272" i="43"/>
  <c r="Y272" i="43"/>
  <c r="X272" i="43"/>
  <c r="W272" i="43"/>
  <c r="V272" i="43"/>
  <c r="U272" i="43"/>
  <c r="T272" i="43"/>
  <c r="S272" i="43"/>
  <c r="R272" i="43"/>
  <c r="Q272" i="43"/>
  <c r="P272" i="43"/>
  <c r="O272" i="43"/>
  <c r="N272" i="43"/>
  <c r="M272" i="43"/>
  <c r="L272" i="43"/>
  <c r="K272" i="43"/>
  <c r="J272" i="43"/>
  <c r="I272" i="43"/>
  <c r="H272" i="43"/>
  <c r="G272" i="43"/>
  <c r="F272" i="43"/>
  <c r="E272" i="43"/>
  <c r="D272" i="43"/>
  <c r="C272" i="43"/>
  <c r="B272" i="43"/>
  <c r="A272" i="43"/>
  <c r="AF271" i="43"/>
  <c r="AE271" i="43"/>
  <c r="AD271" i="43"/>
  <c r="AC271" i="43"/>
  <c r="AB271" i="43"/>
  <c r="AA271" i="43"/>
  <c r="Z271" i="43"/>
  <c r="Y271" i="43"/>
  <c r="X271" i="43"/>
  <c r="W271" i="43"/>
  <c r="V271" i="43"/>
  <c r="U271" i="43"/>
  <c r="T271" i="43"/>
  <c r="S271" i="43"/>
  <c r="R271" i="43"/>
  <c r="Q271" i="43"/>
  <c r="P271" i="43"/>
  <c r="O271" i="43"/>
  <c r="N271" i="43"/>
  <c r="M271" i="43"/>
  <c r="L271" i="43"/>
  <c r="K271" i="43"/>
  <c r="J271" i="43"/>
  <c r="I271" i="43"/>
  <c r="H271" i="43"/>
  <c r="G271" i="43"/>
  <c r="F271" i="43"/>
  <c r="E271" i="43"/>
  <c r="D271" i="43"/>
  <c r="C271" i="43"/>
  <c r="B271" i="43"/>
  <c r="A271" i="43"/>
  <c r="AE270" i="43"/>
  <c r="AD270" i="43"/>
  <c r="AC270" i="43"/>
  <c r="AB270" i="43"/>
  <c r="AA270" i="43"/>
  <c r="Z270" i="43"/>
  <c r="Y270" i="43"/>
  <c r="X270" i="43"/>
  <c r="W270" i="43"/>
  <c r="V270" i="43"/>
  <c r="U270" i="43"/>
  <c r="T270" i="43"/>
  <c r="S270" i="43"/>
  <c r="R270" i="43"/>
  <c r="Q270" i="43"/>
  <c r="P270" i="43"/>
  <c r="C270" i="43"/>
  <c r="B270" i="43"/>
  <c r="S245" i="43"/>
  <c r="AG235" i="43"/>
  <c r="AF235" i="43"/>
  <c r="AE235" i="43"/>
  <c r="AD235" i="43"/>
  <c r="AC235" i="43"/>
  <c r="AB235" i="43"/>
  <c r="AA235" i="43"/>
  <c r="Z235" i="43"/>
  <c r="Y235" i="43"/>
  <c r="X235" i="43"/>
  <c r="W235" i="43"/>
  <c r="V235" i="43"/>
  <c r="U235" i="43"/>
  <c r="T235" i="43"/>
  <c r="S235" i="43"/>
  <c r="R235" i="43"/>
  <c r="Q235" i="43"/>
  <c r="C235" i="43"/>
  <c r="E234" i="43"/>
  <c r="F234" i="43" s="1"/>
  <c r="D234" i="43"/>
  <c r="B234" i="43"/>
  <c r="AF270" i="43" s="1"/>
  <c r="D233" i="43"/>
  <c r="E233" i="43" s="1"/>
  <c r="F233" i="43" s="1"/>
  <c r="G233" i="43" s="1"/>
  <c r="H233" i="43" s="1"/>
  <c r="I233" i="43" s="1"/>
  <c r="J233" i="43" s="1"/>
  <c r="K233" i="43" s="1"/>
  <c r="L233" i="43" s="1"/>
  <c r="M233" i="43" s="1"/>
  <c r="N233" i="43" s="1"/>
  <c r="O233" i="43" s="1"/>
  <c r="P233" i="43" s="1"/>
  <c r="B233" i="43"/>
  <c r="D232" i="43"/>
  <c r="E232" i="43" s="1"/>
  <c r="F232" i="43" s="1"/>
  <c r="G232" i="43" s="1"/>
  <c r="H232" i="43" s="1"/>
  <c r="I232" i="43" s="1"/>
  <c r="B232" i="43"/>
  <c r="E231" i="43"/>
  <c r="F231" i="43" s="1"/>
  <c r="G231" i="43" s="1"/>
  <c r="H231" i="43" s="1"/>
  <c r="D231" i="43"/>
  <c r="B231" i="43"/>
  <c r="E230" i="43"/>
  <c r="F230" i="43" s="1"/>
  <c r="G230" i="43" s="1"/>
  <c r="H230" i="43" s="1"/>
  <c r="I230" i="43" s="1"/>
  <c r="J230" i="43" s="1"/>
  <c r="K230" i="43" s="1"/>
  <c r="L230" i="43" s="1"/>
  <c r="M230" i="43" s="1"/>
  <c r="N230" i="43" s="1"/>
  <c r="O230" i="43" s="1"/>
  <c r="P230" i="43" s="1"/>
  <c r="D230" i="43"/>
  <c r="B230" i="43"/>
  <c r="D229" i="43"/>
  <c r="D235" i="43" s="1"/>
  <c r="B229" i="43"/>
  <c r="AG227" i="43"/>
  <c r="AF227" i="43"/>
  <c r="AE227" i="43"/>
  <c r="AD227" i="43"/>
  <c r="AC227" i="43"/>
  <c r="AB227" i="43"/>
  <c r="AA227" i="43"/>
  <c r="Z227" i="43"/>
  <c r="Y227" i="43"/>
  <c r="X227" i="43"/>
  <c r="W227" i="43"/>
  <c r="V227" i="43"/>
  <c r="U227" i="43"/>
  <c r="T227" i="43"/>
  <c r="S227" i="43"/>
  <c r="R227" i="43"/>
  <c r="Q227" i="43"/>
  <c r="P227" i="43"/>
  <c r="O227" i="43"/>
  <c r="N227" i="43"/>
  <c r="M227" i="43"/>
  <c r="L227" i="43"/>
  <c r="K227" i="43"/>
  <c r="J227" i="43"/>
  <c r="I227" i="43"/>
  <c r="H227" i="43"/>
  <c r="G227" i="43"/>
  <c r="F227" i="43"/>
  <c r="E227" i="43"/>
  <c r="D227" i="43"/>
  <c r="C227" i="43"/>
  <c r="B227" i="43"/>
  <c r="AI120" i="43"/>
  <c r="AH120" i="43"/>
  <c r="AI119" i="43"/>
  <c r="AH119" i="43"/>
  <c r="AI118" i="43"/>
  <c r="AH118" i="43"/>
  <c r="AI117" i="43"/>
  <c r="AH117" i="43"/>
  <c r="AI116" i="43"/>
  <c r="AH116" i="43"/>
  <c r="AI115" i="43"/>
  <c r="AH115" i="43"/>
  <c r="AI114" i="43"/>
  <c r="AH114" i="43"/>
  <c r="AI113" i="43"/>
  <c r="AH113" i="43"/>
  <c r="AI112" i="43"/>
  <c r="AH112" i="43"/>
  <c r="AI111" i="43"/>
  <c r="AH111" i="43"/>
  <c r="AF110" i="43"/>
  <c r="AE110" i="43"/>
  <c r="AC110" i="43"/>
  <c r="AB110" i="43"/>
  <c r="AA110" i="43"/>
  <c r="Z110" i="43"/>
  <c r="Y110" i="43"/>
  <c r="X110" i="43"/>
  <c r="W110" i="43"/>
  <c r="V110" i="43"/>
  <c r="U110" i="43"/>
  <c r="T110" i="43"/>
  <c r="S110" i="43"/>
  <c r="R110" i="43"/>
  <c r="Q110" i="43"/>
  <c r="C110" i="43"/>
  <c r="AI109" i="43"/>
  <c r="AH109" i="43"/>
  <c r="AI108" i="43"/>
  <c r="AH108" i="43"/>
  <c r="AI107" i="43"/>
  <c r="AH107" i="43"/>
  <c r="AI106" i="43"/>
  <c r="AH106" i="43"/>
  <c r="AI105" i="43"/>
  <c r="AH105" i="43"/>
  <c r="AI104" i="43"/>
  <c r="AH104" i="43"/>
  <c r="AI103" i="43"/>
  <c r="AH103" i="43"/>
  <c r="AI102" i="43"/>
  <c r="AH102" i="43"/>
  <c r="AI101" i="43"/>
  <c r="AH101" i="43"/>
  <c r="AI99" i="43"/>
  <c r="AH99" i="43"/>
  <c r="AI98" i="43"/>
  <c r="AH98" i="43"/>
  <c r="AI97" i="43"/>
  <c r="AH97" i="43"/>
  <c r="AI96" i="43"/>
  <c r="AH96" i="43"/>
  <c r="AI95" i="43"/>
  <c r="AH95" i="43"/>
  <c r="AI94" i="43"/>
  <c r="AH94" i="43"/>
  <c r="AI93" i="43"/>
  <c r="AH93" i="43"/>
  <c r="AI90" i="43"/>
  <c r="AH90" i="43"/>
  <c r="AI88" i="43"/>
  <c r="AH88" i="43"/>
  <c r="AG88" i="43"/>
  <c r="AI87" i="43"/>
  <c r="AH87" i="43"/>
  <c r="AI86" i="43"/>
  <c r="AH86" i="43"/>
  <c r="AI85" i="43"/>
  <c r="AH85" i="43"/>
  <c r="AG84" i="43"/>
  <c r="AF84" i="43"/>
  <c r="AF100" i="43" s="1"/>
  <c r="AE84" i="43"/>
  <c r="AE100" i="43" s="1"/>
  <c r="AD84" i="43"/>
  <c r="AD100" i="43" s="1"/>
  <c r="AC84" i="43"/>
  <c r="AC100" i="43" s="1"/>
  <c r="AB84" i="43"/>
  <c r="AB100" i="43" s="1"/>
  <c r="AA84" i="43"/>
  <c r="AA100" i="43" s="1"/>
  <c r="Z84" i="43"/>
  <c r="Z100" i="43" s="1"/>
  <c r="Y84" i="43"/>
  <c r="X5" i="43" s="1"/>
  <c r="X84" i="43"/>
  <c r="W5" i="43" s="1"/>
  <c r="W84" i="43"/>
  <c r="W100" i="43" s="1"/>
  <c r="V84" i="43"/>
  <c r="V100" i="43" s="1"/>
  <c r="U84" i="43"/>
  <c r="U100" i="43" s="1"/>
  <c r="T84" i="43"/>
  <c r="T100" i="43" s="1"/>
  <c r="S84" i="43"/>
  <c r="S100" i="43" s="1"/>
  <c r="R84" i="43"/>
  <c r="R100" i="43" s="1"/>
  <c r="Q84" i="43"/>
  <c r="P5" i="43" s="1"/>
  <c r="P84" i="43"/>
  <c r="P100" i="43" s="1"/>
  <c r="O84" i="43"/>
  <c r="O100" i="43" s="1"/>
  <c r="N84" i="43"/>
  <c r="N100" i="43" s="1"/>
  <c r="M84" i="43"/>
  <c r="M100" i="43" s="1"/>
  <c r="L84" i="43"/>
  <c r="L100" i="43" s="1"/>
  <c r="K84" i="43"/>
  <c r="K100" i="43" s="1"/>
  <c r="J84" i="43"/>
  <c r="J100" i="43" s="1"/>
  <c r="I84" i="43"/>
  <c r="H5" i="43" s="1"/>
  <c r="H84" i="43"/>
  <c r="G5" i="43" s="1"/>
  <c r="G84" i="43"/>
  <c r="G100" i="43" s="1"/>
  <c r="F84" i="43"/>
  <c r="F100" i="43" s="1"/>
  <c r="E84" i="43"/>
  <c r="E100" i="43" s="1"/>
  <c r="AI83" i="43"/>
  <c r="AH83" i="43"/>
  <c r="AI82" i="43"/>
  <c r="AH82" i="43"/>
  <c r="AI81" i="43"/>
  <c r="AH81" i="43"/>
  <c r="AI80" i="43"/>
  <c r="AH80" i="43"/>
  <c r="AI79" i="43"/>
  <c r="AH79" i="43"/>
  <c r="AI78" i="43"/>
  <c r="AH78" i="43"/>
  <c r="AI77" i="43"/>
  <c r="AH77" i="43"/>
  <c r="AI76" i="43"/>
  <c r="AH76" i="43"/>
  <c r="AI75" i="43"/>
  <c r="AH75" i="43"/>
  <c r="AI74" i="43"/>
  <c r="AH74" i="43"/>
  <c r="AI73" i="43"/>
  <c r="AH73" i="43"/>
  <c r="AG72" i="43"/>
  <c r="AF72" i="43"/>
  <c r="AE72" i="43"/>
  <c r="AD72" i="43"/>
  <c r="AC72" i="43"/>
  <c r="AB72" i="43"/>
  <c r="AA72" i="43"/>
  <c r="Z72" i="43"/>
  <c r="X72" i="43"/>
  <c r="W72" i="43"/>
  <c r="V72" i="43"/>
  <c r="U72" i="43"/>
  <c r="T72" i="43"/>
  <c r="S72" i="43"/>
  <c r="R72" i="43"/>
  <c r="Q72" i="43"/>
  <c r="P72" i="43"/>
  <c r="O72" i="43"/>
  <c r="N72" i="43"/>
  <c r="M72" i="43"/>
  <c r="L72" i="43"/>
  <c r="AI71" i="43"/>
  <c r="AH71" i="43"/>
  <c r="AI70" i="43"/>
  <c r="AH70" i="43"/>
  <c r="AI69" i="43"/>
  <c r="AH69" i="43"/>
  <c r="AF68" i="43"/>
  <c r="AE68" i="43"/>
  <c r="AD68" i="43"/>
  <c r="AC68" i="43"/>
  <c r="AB68" i="43"/>
  <c r="AA68" i="43"/>
  <c r="Z68" i="43"/>
  <c r="Y68" i="43"/>
  <c r="X68" i="43"/>
  <c r="W68" i="43"/>
  <c r="V68" i="43"/>
  <c r="U68" i="43"/>
  <c r="T68" i="43"/>
  <c r="S68" i="43"/>
  <c r="R68" i="43"/>
  <c r="Q68" i="43"/>
  <c r="P68" i="43"/>
  <c r="O68" i="43"/>
  <c r="N68" i="43"/>
  <c r="M68" i="43"/>
  <c r="L68" i="43"/>
  <c r="K68" i="43"/>
  <c r="J68" i="43"/>
  <c r="I68" i="43"/>
  <c r="H68" i="43"/>
  <c r="G68" i="43"/>
  <c r="F68" i="43"/>
  <c r="E68" i="43"/>
  <c r="AI67" i="43"/>
  <c r="AH67" i="43"/>
  <c r="AG67" i="43"/>
  <c r="AG68" i="43" s="1"/>
  <c r="AI66" i="43"/>
  <c r="AH66" i="43"/>
  <c r="AI65" i="43"/>
  <c r="AH65" i="43"/>
  <c r="AI64" i="43"/>
  <c r="AH64" i="43"/>
  <c r="AI63" i="43"/>
  <c r="AH63" i="43"/>
  <c r="AI62" i="43"/>
  <c r="AH62" i="43"/>
  <c r="AI61" i="43"/>
  <c r="AH61" i="43"/>
  <c r="AI60" i="43"/>
  <c r="AH60" i="43"/>
  <c r="AI59" i="43"/>
  <c r="AH59" i="43"/>
  <c r="AI58" i="43"/>
  <c r="AH58" i="43"/>
  <c r="AI57" i="43"/>
  <c r="AH57" i="43"/>
  <c r="AI56" i="43"/>
  <c r="AH56" i="43"/>
  <c r="AI55" i="43"/>
  <c r="AH55" i="43"/>
  <c r="AG54" i="43"/>
  <c r="AF54" i="43"/>
  <c r="AE54" i="43"/>
  <c r="AD54" i="43"/>
  <c r="AC54" i="43"/>
  <c r="AB54" i="43"/>
  <c r="AA54" i="43"/>
  <c r="Z54" i="43"/>
  <c r="Y54" i="43"/>
  <c r="V54" i="43"/>
  <c r="U54" i="43"/>
  <c r="T54" i="43"/>
  <c r="S54" i="43"/>
  <c r="R54" i="43"/>
  <c r="Q54" i="43"/>
  <c r="P54" i="43"/>
  <c r="O54" i="43"/>
  <c r="N54" i="43"/>
  <c r="M54" i="43"/>
  <c r="L54" i="43"/>
  <c r="K54" i="43"/>
  <c r="J54" i="43"/>
  <c r="I54" i="43"/>
  <c r="H54" i="43"/>
  <c r="G54" i="43"/>
  <c r="F54" i="43"/>
  <c r="E54" i="43"/>
  <c r="AI53" i="43"/>
  <c r="AH53" i="43"/>
  <c r="AI52" i="43"/>
  <c r="AH52" i="43"/>
  <c r="AI51" i="43"/>
  <c r="AH51" i="43"/>
  <c r="AG50" i="43"/>
  <c r="AG89" i="43" s="1"/>
  <c r="AF50" i="43"/>
  <c r="AE50" i="43"/>
  <c r="AD50" i="43"/>
  <c r="AC50" i="43"/>
  <c r="AB50" i="43"/>
  <c r="AA50" i="43"/>
  <c r="Z50" i="43"/>
  <c r="Y50" i="43"/>
  <c r="V50" i="43"/>
  <c r="U50" i="43"/>
  <c r="T50" i="43"/>
  <c r="S50" i="43"/>
  <c r="R50" i="43"/>
  <c r="Q50" i="43"/>
  <c r="P50" i="43"/>
  <c r="O50" i="43"/>
  <c r="N50" i="43"/>
  <c r="M50" i="43"/>
  <c r="L50" i="43"/>
  <c r="K50" i="43"/>
  <c r="J50" i="43"/>
  <c r="I50" i="43"/>
  <c r="H50" i="43"/>
  <c r="G50" i="43"/>
  <c r="F50" i="43"/>
  <c r="E50" i="43"/>
  <c r="AI49" i="43"/>
  <c r="AH49" i="43"/>
  <c r="AI48" i="43"/>
  <c r="AH48" i="43"/>
  <c r="AI47" i="43"/>
  <c r="AH47" i="43"/>
  <c r="AI46" i="43"/>
  <c r="AH46" i="43"/>
  <c r="AI45" i="43"/>
  <c r="AH45" i="43"/>
  <c r="AI44" i="43"/>
  <c r="AH44" i="43"/>
  <c r="AI43" i="43"/>
  <c r="AH43" i="43"/>
  <c r="AI42" i="43"/>
  <c r="AH42" i="43"/>
  <c r="AI41" i="43"/>
  <c r="AH41" i="43"/>
  <c r="AI40" i="43"/>
  <c r="AH40" i="43"/>
  <c r="AI39" i="43"/>
  <c r="AH39" i="43"/>
  <c r="AI38" i="43"/>
  <c r="AH38" i="43"/>
  <c r="AI37" i="43"/>
  <c r="AH37" i="43"/>
  <c r="AI36" i="43"/>
  <c r="AH36" i="43"/>
  <c r="AI35" i="43"/>
  <c r="AH35" i="43"/>
  <c r="AI34" i="43"/>
  <c r="AH34" i="43"/>
  <c r="AI33" i="43"/>
  <c r="AH33" i="43"/>
  <c r="AI32" i="43"/>
  <c r="AH32" i="43"/>
  <c r="AI31" i="43"/>
  <c r="AH31" i="43"/>
  <c r="AI30" i="43"/>
  <c r="AH30" i="43"/>
  <c r="AI29" i="43"/>
  <c r="AH29" i="43"/>
  <c r="AI28" i="43"/>
  <c r="AH28" i="43"/>
  <c r="AI27" i="43"/>
  <c r="AH27" i="43"/>
  <c r="AI26" i="43"/>
  <c r="AH26" i="43"/>
  <c r="AI25" i="43"/>
  <c r="AH25" i="43"/>
  <c r="AI24" i="43"/>
  <c r="AH24" i="43"/>
  <c r="AI23" i="43"/>
  <c r="AH23" i="43"/>
  <c r="AI22" i="43"/>
  <c r="AH22" i="43"/>
  <c r="AI21" i="43"/>
  <c r="AH21" i="43"/>
  <c r="AI20" i="43"/>
  <c r="AH20" i="43"/>
  <c r="AI19" i="43"/>
  <c r="AH19" i="43"/>
  <c r="AI18" i="43"/>
  <c r="AH18" i="43"/>
  <c r="AI17" i="43"/>
  <c r="AH17" i="43"/>
  <c r="AI16" i="43"/>
  <c r="AH16" i="43"/>
  <c r="AI15" i="43"/>
  <c r="AH15" i="43"/>
  <c r="AI14" i="43"/>
  <c r="AH14" i="43"/>
  <c r="AI13" i="43"/>
  <c r="AH13" i="43"/>
  <c r="AI12" i="43"/>
  <c r="AH12" i="43"/>
  <c r="AI11" i="43"/>
  <c r="AH11" i="43"/>
  <c r="J5" i="43"/>
  <c r="AG4" i="43"/>
  <c r="K4" i="43"/>
  <c r="E4" i="43"/>
  <c r="H4" i="43" s="1"/>
  <c r="B4" i="43"/>
  <c r="D246" i="43" s="1"/>
  <c r="AG2" i="43"/>
  <c r="AF113" i="42"/>
  <c r="AF49" i="42"/>
  <c r="AF50" i="42"/>
  <c r="AF54" i="42"/>
  <c r="AF68" i="42"/>
  <c r="AF72" i="42"/>
  <c r="AF84" i="42"/>
  <c r="AF100" i="42" s="1"/>
  <c r="AE113" i="42"/>
  <c r="AE49" i="42"/>
  <c r="AE50" i="42"/>
  <c r="AE54" i="42"/>
  <c r="AD113" i="42"/>
  <c r="AD49" i="42"/>
  <c r="AC113" i="42"/>
  <c r="AC49" i="42"/>
  <c r="AB113" i="42"/>
  <c r="AB49" i="42"/>
  <c r="I110" i="45" l="1"/>
  <c r="J229" i="45"/>
  <c r="K234" i="45"/>
  <c r="I270" i="45"/>
  <c r="K6" i="44"/>
  <c r="G234" i="44"/>
  <c r="E270" i="44"/>
  <c r="F110" i="44"/>
  <c r="I229" i="44"/>
  <c r="AI91" i="44"/>
  <c r="B92" i="44"/>
  <c r="T249" i="44"/>
  <c r="AH91" i="44"/>
  <c r="B7" i="44"/>
  <c r="A7" i="44" s="1"/>
  <c r="F235" i="44"/>
  <c r="AF89" i="43"/>
  <c r="AF91" i="43" s="1"/>
  <c r="AD5" i="43"/>
  <c r="AE89" i="43"/>
  <c r="AE91" i="43" s="1"/>
  <c r="AD89" i="43"/>
  <c r="AD91" i="43" s="1"/>
  <c r="AB5" i="43"/>
  <c r="AC89" i="43"/>
  <c r="AC91" i="43" s="1"/>
  <c r="AA5" i="43"/>
  <c r="AB89" i="43"/>
  <c r="AB91" i="43" s="1"/>
  <c r="AT249" i="43" s="1"/>
  <c r="AA89" i="43"/>
  <c r="AA91" i="43" s="1"/>
  <c r="AA92" i="43" s="1"/>
  <c r="Z89" i="43"/>
  <c r="Z91" i="43" s="1"/>
  <c r="Z92" i="43" s="1"/>
  <c r="Y89" i="43"/>
  <c r="Y91" i="43" s="1"/>
  <c r="Y7" i="43" s="1"/>
  <c r="Y5" i="43"/>
  <c r="Z5" i="43"/>
  <c r="X89" i="43"/>
  <c r="X91" i="43" s="1"/>
  <c r="X92" i="43" s="1"/>
  <c r="W89" i="43"/>
  <c r="W91" i="43" s="1"/>
  <c r="AO249" i="43" s="1"/>
  <c r="V5" i="43"/>
  <c r="V89" i="43"/>
  <c r="V91" i="43" s="1"/>
  <c r="V7" i="43" s="1"/>
  <c r="T5" i="43"/>
  <c r="U89" i="43"/>
  <c r="U91" i="43" s="1"/>
  <c r="S5" i="43"/>
  <c r="AI72" i="43"/>
  <c r="T89" i="43"/>
  <c r="T91" i="43" s="1"/>
  <c r="T7" i="43" s="1"/>
  <c r="R5" i="43"/>
  <c r="AH72" i="43"/>
  <c r="S89" i="43"/>
  <c r="S91" i="43" s="1"/>
  <c r="Q5" i="43"/>
  <c r="Q89" i="43"/>
  <c r="Q91" i="43" s="1"/>
  <c r="R89" i="43"/>
  <c r="R91" i="43" s="1"/>
  <c r="P89" i="43"/>
  <c r="P91" i="43" s="1"/>
  <c r="N5" i="43"/>
  <c r="O89" i="43"/>
  <c r="O91" i="43" s="1"/>
  <c r="O7" i="43" s="1"/>
  <c r="N89" i="43"/>
  <c r="N91" i="43" s="1"/>
  <c r="AF249" i="43" s="1"/>
  <c r="M89" i="43"/>
  <c r="M91" i="43" s="1"/>
  <c r="L5" i="43"/>
  <c r="K5" i="43"/>
  <c r="L89" i="43"/>
  <c r="L91" i="43" s="1"/>
  <c r="L92" i="43" s="1"/>
  <c r="K89" i="43"/>
  <c r="K91" i="43" s="1"/>
  <c r="I5" i="43"/>
  <c r="J89" i="43"/>
  <c r="J91" i="43" s="1"/>
  <c r="AB249" i="43" s="1"/>
  <c r="I89" i="43"/>
  <c r="I91" i="43" s="1"/>
  <c r="I7" i="43" s="1"/>
  <c r="H89" i="43"/>
  <c r="H91" i="43" s="1"/>
  <c r="Z249" i="43" s="1"/>
  <c r="F5" i="43"/>
  <c r="AH54" i="43"/>
  <c r="G89" i="43"/>
  <c r="G91" i="43" s="1"/>
  <c r="AI68" i="43"/>
  <c r="F89" i="43"/>
  <c r="F91" i="43" s="1"/>
  <c r="X249" i="43" s="1"/>
  <c r="D5" i="43"/>
  <c r="E89" i="43"/>
  <c r="E91" i="43" s="1"/>
  <c r="E92" i="43" s="1"/>
  <c r="AI54" i="43"/>
  <c r="AH50" i="43"/>
  <c r="C5" i="43"/>
  <c r="D89" i="43"/>
  <c r="D91" i="43" s="1"/>
  <c r="D92" i="43" s="1"/>
  <c r="AF5" i="43"/>
  <c r="B5" i="43"/>
  <c r="C89" i="43"/>
  <c r="C91" i="43" s="1"/>
  <c r="C92" i="43" s="1"/>
  <c r="B89" i="43"/>
  <c r="B91" i="43" s="1"/>
  <c r="B92" i="43" s="1"/>
  <c r="S246" i="43"/>
  <c r="AA249" i="43"/>
  <c r="AJ249" i="43"/>
  <c r="R7" i="43"/>
  <c r="R92" i="43"/>
  <c r="U92" i="43"/>
  <c r="AM249" i="43"/>
  <c r="U7" i="43"/>
  <c r="E270" i="43"/>
  <c r="G234" i="43"/>
  <c r="AA7" i="43"/>
  <c r="AS249" i="43"/>
  <c r="AN249" i="43"/>
  <c r="D7" i="43"/>
  <c r="V249" i="43"/>
  <c r="AB92" i="43"/>
  <c r="AC92" i="43"/>
  <c r="AU249" i="43"/>
  <c r="AC7" i="43"/>
  <c r="J232" i="43"/>
  <c r="K232" i="43" s="1"/>
  <c r="L232" i="43" s="1"/>
  <c r="M232" i="43" s="1"/>
  <c r="N232" i="43" s="1"/>
  <c r="O232" i="43" s="1"/>
  <c r="P232" i="43" s="1"/>
  <c r="AI249" i="43"/>
  <c r="Q7" i="43"/>
  <c r="Q92" i="43"/>
  <c r="K92" i="43"/>
  <c r="K7" i="43"/>
  <c r="AC249" i="43"/>
  <c r="AV249" i="43"/>
  <c r="AD7" i="43"/>
  <c r="AD92" i="43"/>
  <c r="AQ249" i="43"/>
  <c r="Z7" i="43"/>
  <c r="S7" i="43"/>
  <c r="S92" i="43"/>
  <c r="AK249" i="43"/>
  <c r="T92" i="43"/>
  <c r="H7" i="43"/>
  <c r="H92" i="43"/>
  <c r="P7" i="43"/>
  <c r="P92" i="43"/>
  <c r="AH249" i="43"/>
  <c r="AF92" i="43"/>
  <c r="AF7" i="43"/>
  <c r="AX249" i="43"/>
  <c r="AG91" i="43"/>
  <c r="AG3" i="43"/>
  <c r="AG6" i="43" s="1"/>
  <c r="AW249" i="43"/>
  <c r="AE7" i="43"/>
  <c r="AE92" i="43"/>
  <c r="M92" i="43"/>
  <c r="AE249" i="43"/>
  <c r="M7" i="43"/>
  <c r="AH84" i="43"/>
  <c r="E229" i="43"/>
  <c r="D270" i="43"/>
  <c r="AI50" i="43"/>
  <c r="E5" i="43"/>
  <c r="U5" i="43"/>
  <c r="AH68" i="43"/>
  <c r="AI84" i="43"/>
  <c r="H100" i="43"/>
  <c r="X100" i="43"/>
  <c r="I100" i="43"/>
  <c r="Q100" i="43"/>
  <c r="Y100" i="43"/>
  <c r="O5" i="43"/>
  <c r="AE5" i="43"/>
  <c r="B235" i="43"/>
  <c r="M5" i="43"/>
  <c r="AC5" i="43"/>
  <c r="AF89" i="42"/>
  <c r="AF91" i="42" s="1"/>
  <c r="AF92" i="42" s="1"/>
  <c r="N50" i="42"/>
  <c r="G227" i="42"/>
  <c r="G232" i="42"/>
  <c r="G271" i="42"/>
  <c r="G272" i="42"/>
  <c r="G273" i="42"/>
  <c r="G274" i="42"/>
  <c r="F227" i="42"/>
  <c r="AF274" i="42"/>
  <c r="AE274" i="42"/>
  <c r="AD274" i="42"/>
  <c r="AC274" i="42"/>
  <c r="AB274" i="42"/>
  <c r="AA274" i="42"/>
  <c r="Z274" i="42"/>
  <c r="Y274" i="42"/>
  <c r="X274" i="42"/>
  <c r="W274" i="42"/>
  <c r="V274" i="42"/>
  <c r="U274" i="42"/>
  <c r="T274" i="42"/>
  <c r="S274" i="42"/>
  <c r="R274" i="42"/>
  <c r="Q274" i="42"/>
  <c r="P274" i="42"/>
  <c r="O274" i="42"/>
  <c r="N274" i="42"/>
  <c r="M274" i="42"/>
  <c r="L274" i="42"/>
  <c r="K274" i="42"/>
  <c r="J274" i="42"/>
  <c r="I274" i="42"/>
  <c r="H274" i="42"/>
  <c r="F274" i="42"/>
  <c r="E274" i="42"/>
  <c r="D274" i="42"/>
  <c r="C274" i="42"/>
  <c r="B274" i="42"/>
  <c r="A274" i="42"/>
  <c r="AF273" i="42"/>
  <c r="AE273" i="42"/>
  <c r="AD273" i="42"/>
  <c r="AC273" i="42"/>
  <c r="AB273" i="42"/>
  <c r="AA273" i="42"/>
  <c r="Z273" i="42"/>
  <c r="Y273" i="42"/>
  <c r="X273" i="42"/>
  <c r="W273" i="42"/>
  <c r="V273" i="42"/>
  <c r="U273" i="42"/>
  <c r="T273" i="42"/>
  <c r="S273" i="42"/>
  <c r="R273" i="42"/>
  <c r="Q273" i="42"/>
  <c r="P273" i="42"/>
  <c r="O273" i="42"/>
  <c r="N273" i="42"/>
  <c r="M273" i="42"/>
  <c r="L273" i="42"/>
  <c r="K273" i="42"/>
  <c r="J273" i="42"/>
  <c r="I273" i="42"/>
  <c r="H273" i="42"/>
  <c r="F273" i="42"/>
  <c r="E273" i="42"/>
  <c r="D273" i="42"/>
  <c r="C273" i="42"/>
  <c r="B273" i="42"/>
  <c r="A273" i="42"/>
  <c r="AF272" i="42"/>
  <c r="AE272" i="42"/>
  <c r="AD272" i="42"/>
  <c r="AC272" i="42"/>
  <c r="AB272" i="42"/>
  <c r="AA272" i="42"/>
  <c r="Z272" i="42"/>
  <c r="Y272" i="42"/>
  <c r="X272" i="42"/>
  <c r="W272" i="42"/>
  <c r="V272" i="42"/>
  <c r="U272" i="42"/>
  <c r="T272" i="42"/>
  <c r="S272" i="42"/>
  <c r="R272" i="42"/>
  <c r="Q272" i="42"/>
  <c r="P272" i="42"/>
  <c r="O272" i="42"/>
  <c r="N272" i="42"/>
  <c r="M272" i="42"/>
  <c r="L272" i="42"/>
  <c r="K272" i="42"/>
  <c r="J272" i="42"/>
  <c r="I272" i="42"/>
  <c r="H272" i="42"/>
  <c r="F272" i="42"/>
  <c r="E272" i="42"/>
  <c r="D272" i="42"/>
  <c r="C272" i="42"/>
  <c r="B272" i="42"/>
  <c r="A272" i="42"/>
  <c r="AF271" i="42"/>
  <c r="AE271" i="42"/>
  <c r="AD271" i="42"/>
  <c r="AC271" i="42"/>
  <c r="AB271" i="42"/>
  <c r="AA271" i="42"/>
  <c r="Z271" i="42"/>
  <c r="Y271" i="42"/>
  <c r="X271" i="42"/>
  <c r="W271" i="42"/>
  <c r="V271" i="42"/>
  <c r="U271" i="42"/>
  <c r="T271" i="42"/>
  <c r="S271" i="42"/>
  <c r="R271" i="42"/>
  <c r="Q271" i="42"/>
  <c r="P271" i="42"/>
  <c r="O271" i="42"/>
  <c r="N271" i="42"/>
  <c r="M271" i="42"/>
  <c r="L271" i="42"/>
  <c r="K271" i="42"/>
  <c r="J271" i="42"/>
  <c r="I271" i="42"/>
  <c r="H271" i="42"/>
  <c r="F271" i="42"/>
  <c r="E271" i="42"/>
  <c r="D271" i="42"/>
  <c r="C271" i="42"/>
  <c r="B271" i="42"/>
  <c r="A271" i="42"/>
  <c r="AE270" i="42"/>
  <c r="AD270" i="42"/>
  <c r="AC270" i="42"/>
  <c r="AB270" i="42"/>
  <c r="AA270" i="42"/>
  <c r="Z270" i="42"/>
  <c r="Y270" i="42"/>
  <c r="X270" i="42"/>
  <c r="W270" i="42"/>
  <c r="V270" i="42"/>
  <c r="U270" i="42"/>
  <c r="T270" i="42"/>
  <c r="S270" i="42"/>
  <c r="R270" i="42"/>
  <c r="Q270" i="42"/>
  <c r="P270" i="42"/>
  <c r="B270" i="42"/>
  <c r="S245" i="42"/>
  <c r="AG235" i="42"/>
  <c r="AG67" i="42" s="1"/>
  <c r="AG68" i="42" s="1"/>
  <c r="AG3" i="42" s="1"/>
  <c r="AF235" i="42"/>
  <c r="AE235" i="42"/>
  <c r="AD235" i="42"/>
  <c r="AC235" i="42"/>
  <c r="AB235" i="42"/>
  <c r="AA235" i="42"/>
  <c r="Z235" i="42"/>
  <c r="Y235" i="42"/>
  <c r="X235" i="42"/>
  <c r="W235" i="42"/>
  <c r="V235" i="42"/>
  <c r="U235" i="42"/>
  <c r="T235" i="42"/>
  <c r="S235" i="42"/>
  <c r="R235" i="42"/>
  <c r="Q235" i="42"/>
  <c r="C235" i="42"/>
  <c r="D234" i="42"/>
  <c r="B234" i="42"/>
  <c r="AF270" i="42" s="1"/>
  <c r="D233" i="42"/>
  <c r="E233" i="42" s="1"/>
  <c r="F233" i="42" s="1"/>
  <c r="G233" i="42" s="1"/>
  <c r="B233" i="42"/>
  <c r="D232" i="42"/>
  <c r="E232" i="42" s="1"/>
  <c r="F232" i="42" s="1"/>
  <c r="B232" i="42"/>
  <c r="D231" i="42"/>
  <c r="E231" i="42" s="1"/>
  <c r="F231" i="42" s="1"/>
  <c r="B231" i="42"/>
  <c r="D230" i="42"/>
  <c r="E230" i="42" s="1"/>
  <c r="F230" i="42" s="1"/>
  <c r="G230" i="42" s="1"/>
  <c r="B230" i="42"/>
  <c r="D229" i="42"/>
  <c r="B229" i="42"/>
  <c r="AG227" i="42"/>
  <c r="AF227" i="42"/>
  <c r="AE227" i="42"/>
  <c r="AD227" i="42"/>
  <c r="AC227" i="42"/>
  <c r="AB227" i="42"/>
  <c r="AA227" i="42"/>
  <c r="Z227" i="42"/>
  <c r="Y227" i="42"/>
  <c r="X227" i="42"/>
  <c r="W227" i="42"/>
  <c r="V227" i="42"/>
  <c r="U227" i="42"/>
  <c r="T227" i="42"/>
  <c r="S227" i="42"/>
  <c r="R227" i="42"/>
  <c r="Q227" i="42"/>
  <c r="P227" i="42"/>
  <c r="O227" i="42"/>
  <c r="N227" i="42"/>
  <c r="M227" i="42"/>
  <c r="L227" i="42"/>
  <c r="K227" i="42"/>
  <c r="J227" i="42"/>
  <c r="I227" i="42"/>
  <c r="H227" i="42"/>
  <c r="E227" i="42"/>
  <c r="D227" i="42"/>
  <c r="C227" i="42"/>
  <c r="B227" i="42"/>
  <c r="AI120" i="42"/>
  <c r="AH120" i="42"/>
  <c r="AI119" i="42"/>
  <c r="AH119" i="42"/>
  <c r="AI118" i="42"/>
  <c r="AH118" i="42"/>
  <c r="AI117" i="42"/>
  <c r="AH117" i="42"/>
  <c r="AI116" i="42"/>
  <c r="AH116" i="42"/>
  <c r="AI115" i="42"/>
  <c r="AH115" i="42"/>
  <c r="AI114" i="42"/>
  <c r="AH114" i="42"/>
  <c r="AI113" i="42"/>
  <c r="AH113" i="42"/>
  <c r="AI112" i="42"/>
  <c r="AH112" i="42"/>
  <c r="AI111" i="42"/>
  <c r="AH111" i="42"/>
  <c r="AF110" i="42"/>
  <c r="AE110" i="42"/>
  <c r="AC110" i="42"/>
  <c r="AB110" i="42"/>
  <c r="AA110" i="42"/>
  <c r="Z110" i="42"/>
  <c r="Y110" i="42"/>
  <c r="X110" i="42"/>
  <c r="W110" i="42"/>
  <c r="V110" i="42"/>
  <c r="U110" i="42"/>
  <c r="T110" i="42"/>
  <c r="S110" i="42"/>
  <c r="R110" i="42"/>
  <c r="Q110" i="42"/>
  <c r="AI109" i="42"/>
  <c r="AH109" i="42"/>
  <c r="AI108" i="42"/>
  <c r="AH108" i="42"/>
  <c r="AI107" i="42"/>
  <c r="AH107" i="42"/>
  <c r="AI106" i="42"/>
  <c r="AH106" i="42"/>
  <c r="AI105" i="42"/>
  <c r="AH105" i="42"/>
  <c r="AI104" i="42"/>
  <c r="AH104" i="42"/>
  <c r="AI103" i="42"/>
  <c r="AH103" i="42"/>
  <c r="AI102" i="42"/>
  <c r="AH102" i="42"/>
  <c r="AI101" i="42"/>
  <c r="AH101" i="42"/>
  <c r="AI99" i="42"/>
  <c r="AH99" i="42"/>
  <c r="AI98" i="42"/>
  <c r="AH98" i="42"/>
  <c r="AI97" i="42"/>
  <c r="AH97" i="42"/>
  <c r="AI96" i="42"/>
  <c r="AH96" i="42"/>
  <c r="AI95" i="42"/>
  <c r="AH95" i="42"/>
  <c r="AI94" i="42"/>
  <c r="AH94" i="42"/>
  <c r="AI93" i="42"/>
  <c r="AH93" i="42"/>
  <c r="AI90" i="42"/>
  <c r="AH90" i="42"/>
  <c r="AI88" i="42"/>
  <c r="AH88" i="42"/>
  <c r="AG88" i="42"/>
  <c r="AI87" i="42"/>
  <c r="AH87" i="42"/>
  <c r="AI86" i="42"/>
  <c r="AH86" i="42"/>
  <c r="AI85" i="42"/>
  <c r="AH85" i="42"/>
  <c r="AG84" i="42"/>
  <c r="AE84" i="42"/>
  <c r="AE100" i="42" s="1"/>
  <c r="AD84" i="42"/>
  <c r="AD100" i="42" s="1"/>
  <c r="AC84" i="42"/>
  <c r="AC100" i="42" s="1"/>
  <c r="AB84" i="42"/>
  <c r="AB100" i="42" s="1"/>
  <c r="AA84" i="42"/>
  <c r="Z5" i="42" s="1"/>
  <c r="Z84" i="42"/>
  <c r="Z100" i="42" s="1"/>
  <c r="Y84" i="42"/>
  <c r="X5" i="42" s="1"/>
  <c r="X84" i="42"/>
  <c r="W84" i="42"/>
  <c r="W100" i="42" s="1"/>
  <c r="V84" i="42"/>
  <c r="V100" i="42" s="1"/>
  <c r="U84" i="42"/>
  <c r="U100" i="42" s="1"/>
  <c r="T84" i="42"/>
  <c r="T100" i="42" s="1"/>
  <c r="S84" i="42"/>
  <c r="R5" i="42" s="1"/>
  <c r="R84" i="42"/>
  <c r="R100" i="42" s="1"/>
  <c r="Q84" i="42"/>
  <c r="P5" i="42" s="1"/>
  <c r="P84" i="42"/>
  <c r="O84" i="42"/>
  <c r="N5" i="42" s="1"/>
  <c r="N84" i="42"/>
  <c r="N100" i="42" s="1"/>
  <c r="M84" i="42"/>
  <c r="M100" i="42" s="1"/>
  <c r="L84" i="42"/>
  <c r="K5" i="42" s="1"/>
  <c r="K84" i="42"/>
  <c r="K100" i="42" s="1"/>
  <c r="C5" i="42"/>
  <c r="AI83" i="42"/>
  <c r="AH83" i="42"/>
  <c r="AI82" i="42"/>
  <c r="AH82" i="42"/>
  <c r="AI81" i="42"/>
  <c r="AH81" i="42"/>
  <c r="AI80" i="42"/>
  <c r="AH80" i="42"/>
  <c r="AI79" i="42"/>
  <c r="AH79" i="42"/>
  <c r="AI78" i="42"/>
  <c r="AH78" i="42"/>
  <c r="AI77" i="42"/>
  <c r="AH77" i="42"/>
  <c r="AI76" i="42"/>
  <c r="AH76" i="42"/>
  <c r="AI75" i="42"/>
  <c r="AH75" i="42"/>
  <c r="AI74" i="42"/>
  <c r="AH74" i="42"/>
  <c r="AI73" i="42"/>
  <c r="AH73" i="42"/>
  <c r="AG72" i="42"/>
  <c r="AG4" i="42" s="1"/>
  <c r="AE72" i="42"/>
  <c r="AD72" i="42"/>
  <c r="AC72" i="42"/>
  <c r="AB72" i="42"/>
  <c r="AA72" i="42"/>
  <c r="Z72" i="42"/>
  <c r="Y72" i="42"/>
  <c r="X72" i="42"/>
  <c r="W72" i="42"/>
  <c r="V72" i="42"/>
  <c r="U72" i="42"/>
  <c r="T72" i="42"/>
  <c r="S72" i="42"/>
  <c r="R72" i="42"/>
  <c r="Q72" i="42"/>
  <c r="P72" i="42"/>
  <c r="O72" i="42"/>
  <c r="N72" i="42"/>
  <c r="M72" i="42"/>
  <c r="L72" i="42"/>
  <c r="AI71" i="42"/>
  <c r="AH71" i="42"/>
  <c r="AI70" i="42"/>
  <c r="AH70" i="42"/>
  <c r="AI69" i="42"/>
  <c r="AH69" i="42"/>
  <c r="AE68" i="42"/>
  <c r="AD68" i="42"/>
  <c r="AC68" i="42"/>
  <c r="AB68" i="42"/>
  <c r="AA68" i="42"/>
  <c r="Z68" i="42"/>
  <c r="Y68" i="42"/>
  <c r="X68" i="42"/>
  <c r="W68" i="42"/>
  <c r="V68" i="42"/>
  <c r="U68" i="42"/>
  <c r="T68" i="42"/>
  <c r="S68" i="42"/>
  <c r="R68" i="42"/>
  <c r="Q68" i="42"/>
  <c r="P68" i="42"/>
  <c r="O68" i="42"/>
  <c r="N68" i="42"/>
  <c r="M68" i="42"/>
  <c r="L68" i="42"/>
  <c r="K68" i="42"/>
  <c r="AI67" i="42"/>
  <c r="AH67" i="42"/>
  <c r="AI66" i="42"/>
  <c r="AH66" i="42"/>
  <c r="AI65" i="42"/>
  <c r="AH65" i="42"/>
  <c r="AI64" i="42"/>
  <c r="AH64" i="42"/>
  <c r="AI63" i="42"/>
  <c r="AH63" i="42"/>
  <c r="AI62" i="42"/>
  <c r="AH62" i="42"/>
  <c r="AI61" i="42"/>
  <c r="AH61" i="42"/>
  <c r="AI60" i="42"/>
  <c r="AH60" i="42"/>
  <c r="AI59" i="42"/>
  <c r="AH59" i="42"/>
  <c r="AI58" i="42"/>
  <c r="AH58" i="42"/>
  <c r="AI57" i="42"/>
  <c r="AH57" i="42"/>
  <c r="AI56" i="42"/>
  <c r="AH56" i="42"/>
  <c r="AI55" i="42"/>
  <c r="AH55" i="42"/>
  <c r="AG54" i="42"/>
  <c r="AD54" i="42"/>
  <c r="AC54" i="42"/>
  <c r="AB54" i="42"/>
  <c r="AA54" i="42"/>
  <c r="Z54" i="42"/>
  <c r="Y54" i="42"/>
  <c r="X54" i="42"/>
  <c r="W54" i="42"/>
  <c r="V54" i="42"/>
  <c r="U54" i="42"/>
  <c r="T54" i="42"/>
  <c r="S54" i="42"/>
  <c r="R54" i="42"/>
  <c r="Q54" i="42"/>
  <c r="P54" i="42"/>
  <c r="O54" i="42"/>
  <c r="N54" i="42"/>
  <c r="M54" i="42"/>
  <c r="L54" i="42"/>
  <c r="AI53" i="42"/>
  <c r="AH53" i="42"/>
  <c r="AI52" i="42"/>
  <c r="AH52" i="42"/>
  <c r="AI51" i="42"/>
  <c r="AH51" i="42"/>
  <c r="AG50" i="42"/>
  <c r="AD50" i="42"/>
  <c r="AC50" i="42"/>
  <c r="AB50" i="42"/>
  <c r="AA50" i="42"/>
  <c r="Z50" i="42"/>
  <c r="Y50" i="42"/>
  <c r="X50" i="42"/>
  <c r="W50" i="42"/>
  <c r="V50" i="42"/>
  <c r="U50" i="42"/>
  <c r="T50" i="42"/>
  <c r="S50" i="42"/>
  <c r="R50" i="42"/>
  <c r="Q50" i="42"/>
  <c r="P50" i="42"/>
  <c r="O50" i="42"/>
  <c r="M50" i="42"/>
  <c r="L50" i="42"/>
  <c r="AI49" i="42"/>
  <c r="AH49" i="42"/>
  <c r="AI48" i="42"/>
  <c r="AH48" i="42"/>
  <c r="AI47" i="42"/>
  <c r="AH47" i="42"/>
  <c r="AI46" i="42"/>
  <c r="AH46" i="42"/>
  <c r="AI45" i="42"/>
  <c r="AH45" i="42"/>
  <c r="AI44" i="42"/>
  <c r="AH44" i="42"/>
  <c r="AI43" i="42"/>
  <c r="AH43" i="42"/>
  <c r="AI42" i="42"/>
  <c r="AH42" i="42"/>
  <c r="AI41" i="42"/>
  <c r="AH41" i="42"/>
  <c r="AI40" i="42"/>
  <c r="AH40" i="42"/>
  <c r="AI39" i="42"/>
  <c r="AH39" i="42"/>
  <c r="AI38" i="42"/>
  <c r="AH38" i="42"/>
  <c r="AI37" i="42"/>
  <c r="AH37" i="42"/>
  <c r="AI36" i="42"/>
  <c r="AH36" i="42"/>
  <c r="AI35" i="42"/>
  <c r="AH35" i="42"/>
  <c r="AI34" i="42"/>
  <c r="AH34" i="42"/>
  <c r="AI33" i="42"/>
  <c r="AH33" i="42"/>
  <c r="AI32" i="42"/>
  <c r="AH32" i="42"/>
  <c r="AI31" i="42"/>
  <c r="AH31" i="42"/>
  <c r="AI30" i="42"/>
  <c r="AH30" i="42"/>
  <c r="AI29" i="42"/>
  <c r="AH29" i="42"/>
  <c r="AI28" i="42"/>
  <c r="AH28" i="42"/>
  <c r="AI27" i="42"/>
  <c r="AH27" i="42"/>
  <c r="AI26" i="42"/>
  <c r="AH26" i="42"/>
  <c r="AI25" i="42"/>
  <c r="AH25" i="42"/>
  <c r="AI24" i="42"/>
  <c r="AH24" i="42"/>
  <c r="AI23" i="42"/>
  <c r="AH23" i="42"/>
  <c r="AI22" i="42"/>
  <c r="AH22" i="42"/>
  <c r="AI21" i="42"/>
  <c r="AH21" i="42"/>
  <c r="AI20" i="42"/>
  <c r="AH20" i="42"/>
  <c r="AI19" i="42"/>
  <c r="AH19" i="42"/>
  <c r="AI18" i="42"/>
  <c r="AH18" i="42"/>
  <c r="AI17" i="42"/>
  <c r="AH17" i="42"/>
  <c r="AI16" i="42"/>
  <c r="AH16" i="42"/>
  <c r="AI15" i="42"/>
  <c r="AH15" i="42"/>
  <c r="AI14" i="42"/>
  <c r="AH14" i="42"/>
  <c r="AI13" i="42"/>
  <c r="AH13" i="42"/>
  <c r="AI12" i="42"/>
  <c r="AH12" i="42"/>
  <c r="AI11" i="42"/>
  <c r="AH11" i="42"/>
  <c r="D7" i="42"/>
  <c r="AF5" i="42"/>
  <c r="I5" i="42"/>
  <c r="F5" i="42"/>
  <c r="E5" i="42"/>
  <c r="D5" i="42"/>
  <c r="B5" i="42"/>
  <c r="K4" i="42"/>
  <c r="E4" i="42"/>
  <c r="H4" i="42" s="1"/>
  <c r="B4" i="42"/>
  <c r="S246" i="42" s="1"/>
  <c r="AG2" i="42"/>
  <c r="J270" i="45" l="1"/>
  <c r="L234" i="45"/>
  <c r="J110" i="45"/>
  <c r="K229" i="45"/>
  <c r="J229" i="44"/>
  <c r="AH92" i="44"/>
  <c r="AI92" i="44"/>
  <c r="F270" i="44"/>
  <c r="H234" i="44"/>
  <c r="G110" i="44"/>
  <c r="G235" i="44"/>
  <c r="AB7" i="43"/>
  <c r="AL249" i="43"/>
  <c r="AR249" i="43"/>
  <c r="Y92" i="43"/>
  <c r="W92" i="43"/>
  <c r="AP249" i="43"/>
  <c r="W7" i="43"/>
  <c r="X7" i="43"/>
  <c r="V92" i="43"/>
  <c r="AG249" i="43"/>
  <c r="O92" i="43"/>
  <c r="N92" i="43"/>
  <c r="N7" i="43"/>
  <c r="L7" i="43"/>
  <c r="AD249" i="43"/>
  <c r="J7" i="43"/>
  <c r="J92" i="43"/>
  <c r="I92" i="43"/>
  <c r="B244" i="43"/>
  <c r="G92" i="43"/>
  <c r="C244" i="43"/>
  <c r="G7" i="43"/>
  <c r="Y249" i="43"/>
  <c r="F92" i="43"/>
  <c r="F7" i="43"/>
  <c r="E7" i="43"/>
  <c r="W249" i="43"/>
  <c r="U249" i="43"/>
  <c r="C7" i="43"/>
  <c r="F270" i="43"/>
  <c r="H234" i="43"/>
  <c r="F229" i="43"/>
  <c r="E110" i="43"/>
  <c r="E235" i="43"/>
  <c r="AH100" i="43"/>
  <c r="AI100" i="43"/>
  <c r="AI89" i="43"/>
  <c r="AH89" i="43"/>
  <c r="AD5" i="42"/>
  <c r="AB5" i="42"/>
  <c r="AC5" i="42"/>
  <c r="AB89" i="42"/>
  <c r="AB91" i="42" s="1"/>
  <c r="AB92" i="42" s="1"/>
  <c r="AC89" i="42"/>
  <c r="AC91" i="42" s="1"/>
  <c r="AC92" i="42" s="1"/>
  <c r="Y89" i="42"/>
  <c r="Y91" i="42" s="1"/>
  <c r="AQ249" i="42" s="1"/>
  <c r="U5" i="42"/>
  <c r="G231" i="42"/>
  <c r="H231" i="42" s="1"/>
  <c r="Z89" i="42"/>
  <c r="Z91" i="42" s="1"/>
  <c r="Z7" i="42" s="1"/>
  <c r="AG91" i="42"/>
  <c r="AD89" i="42"/>
  <c r="AD91" i="42" s="1"/>
  <c r="AD7" i="42" s="1"/>
  <c r="O100" i="42"/>
  <c r="V89" i="42"/>
  <c r="V91" i="42" s="1"/>
  <c r="V7" i="42" s="1"/>
  <c r="V5" i="42"/>
  <c r="W89" i="42"/>
  <c r="W91" i="42" s="1"/>
  <c r="AE89" i="42"/>
  <c r="AE91" i="42" s="1"/>
  <c r="AW249" i="42" s="1"/>
  <c r="Y5" i="42"/>
  <c r="AA100" i="42"/>
  <c r="H230" i="42"/>
  <c r="I230" i="42" s="1"/>
  <c r="J230" i="42" s="1"/>
  <c r="K230" i="42" s="1"/>
  <c r="L230" i="42" s="1"/>
  <c r="M230" i="42" s="1"/>
  <c r="N230" i="42" s="1"/>
  <c r="O230" i="42" s="1"/>
  <c r="P230" i="42" s="1"/>
  <c r="AG6" i="42"/>
  <c r="AG89" i="42"/>
  <c r="U89" i="42"/>
  <c r="U91" i="42" s="1"/>
  <c r="U92" i="42" s="1"/>
  <c r="T5" i="42"/>
  <c r="T89" i="42"/>
  <c r="T91" i="42" s="1"/>
  <c r="AL249" i="42" s="1"/>
  <c r="S100" i="42"/>
  <c r="Q5" i="42"/>
  <c r="R89" i="42"/>
  <c r="R91" i="42" s="1"/>
  <c r="R92" i="42" s="1"/>
  <c r="Q89" i="42"/>
  <c r="Q91" i="42" s="1"/>
  <c r="Q7" i="42" s="1"/>
  <c r="AI72" i="42"/>
  <c r="M5" i="42"/>
  <c r="N89" i="42"/>
  <c r="N91" i="42" s="1"/>
  <c r="N92" i="42" s="1"/>
  <c r="O89" i="42"/>
  <c r="O91" i="42" s="1"/>
  <c r="AG249" i="42" s="1"/>
  <c r="AI54" i="42"/>
  <c r="AH54" i="42"/>
  <c r="L5" i="42"/>
  <c r="M89" i="42"/>
  <c r="M91" i="42" s="1"/>
  <c r="M92" i="42" s="1"/>
  <c r="AH68" i="42"/>
  <c r="AI68" i="42"/>
  <c r="L89" i="42"/>
  <c r="L91" i="42" s="1"/>
  <c r="L7" i="42" s="1"/>
  <c r="J5" i="42"/>
  <c r="K89" i="42"/>
  <c r="K91" i="42" s="1"/>
  <c r="K7" i="42" s="1"/>
  <c r="H232" i="42"/>
  <c r="I232" i="42" s="1"/>
  <c r="J232" i="42" s="1"/>
  <c r="K232" i="42" s="1"/>
  <c r="L232" i="42" s="1"/>
  <c r="M232" i="42" s="1"/>
  <c r="N232" i="42" s="1"/>
  <c r="O232" i="42" s="1"/>
  <c r="P232" i="42" s="1"/>
  <c r="H233" i="42"/>
  <c r="I233" i="42" s="1"/>
  <c r="J233" i="42" s="1"/>
  <c r="K233" i="42" s="1"/>
  <c r="L233" i="42" s="1"/>
  <c r="M233" i="42" s="1"/>
  <c r="N233" i="42" s="1"/>
  <c r="O233" i="42" s="1"/>
  <c r="P233" i="42" s="1"/>
  <c r="D246" i="42"/>
  <c r="O92" i="42"/>
  <c r="P89" i="42"/>
  <c r="P91" i="42" s="1"/>
  <c r="X100" i="42"/>
  <c r="W5" i="42"/>
  <c r="X89" i="42"/>
  <c r="X91" i="42" s="1"/>
  <c r="Y249" i="42"/>
  <c r="G7" i="42"/>
  <c r="P100" i="42"/>
  <c r="O5" i="42"/>
  <c r="X249" i="42"/>
  <c r="F7" i="42"/>
  <c r="E234" i="42"/>
  <c r="C270" i="42"/>
  <c r="AO249" i="42"/>
  <c r="W7" i="42"/>
  <c r="W92" i="42"/>
  <c r="AE5" i="42"/>
  <c r="AH72" i="42"/>
  <c r="I7" i="42"/>
  <c r="AA249" i="42"/>
  <c r="J7" i="42"/>
  <c r="AB249" i="42"/>
  <c r="C7" i="42"/>
  <c r="U249" i="42"/>
  <c r="S89" i="42"/>
  <c r="S91" i="42" s="1"/>
  <c r="E7" i="42"/>
  <c r="W249" i="42"/>
  <c r="D235" i="42"/>
  <c r="N7" i="42"/>
  <c r="G5" i="42"/>
  <c r="Y7" i="42"/>
  <c r="Y92" i="42"/>
  <c r="AA89" i="42"/>
  <c r="AA91" i="42" s="1"/>
  <c r="V249" i="42"/>
  <c r="H5" i="42"/>
  <c r="AH84" i="42"/>
  <c r="Q100" i="42"/>
  <c r="Y100" i="42"/>
  <c r="AH50" i="42"/>
  <c r="AI84" i="42"/>
  <c r="E229" i="42"/>
  <c r="S5" i="42"/>
  <c r="AA5" i="42"/>
  <c r="L100" i="42"/>
  <c r="B235" i="42"/>
  <c r="AI50" i="42"/>
  <c r="AB50" i="41"/>
  <c r="AB54" i="41"/>
  <c r="AB68" i="41"/>
  <c r="AB72" i="41"/>
  <c r="AB84" i="41"/>
  <c r="AB100" i="41" s="1"/>
  <c r="AB110" i="41"/>
  <c r="T49" i="41"/>
  <c r="S49" i="41"/>
  <c r="R49" i="41"/>
  <c r="Q49" i="41"/>
  <c r="K110" i="45" l="1"/>
  <c r="L229" i="45"/>
  <c r="K270" i="45"/>
  <c r="M234" i="45"/>
  <c r="K229" i="44"/>
  <c r="G270" i="44"/>
  <c r="I234" i="44"/>
  <c r="H235" i="44"/>
  <c r="H110" i="44"/>
  <c r="K6" i="43"/>
  <c r="B7" i="43"/>
  <c r="A7" i="43" s="1"/>
  <c r="AH91" i="43"/>
  <c r="AI91" i="43"/>
  <c r="T249" i="43"/>
  <c r="F110" i="43"/>
  <c r="G229" i="43"/>
  <c r="F235" i="43"/>
  <c r="G270" i="43"/>
  <c r="I234" i="43"/>
  <c r="AE7" i="42"/>
  <c r="AD92" i="42"/>
  <c r="AV249" i="42"/>
  <c r="AC7" i="42"/>
  <c r="AU249" i="42"/>
  <c r="AT249" i="42"/>
  <c r="AB7" i="42"/>
  <c r="AE92" i="42"/>
  <c r="K92" i="42"/>
  <c r="AF249" i="42"/>
  <c r="O7" i="42"/>
  <c r="AR249" i="42"/>
  <c r="Z92" i="42"/>
  <c r="V92" i="42"/>
  <c r="AN249" i="42"/>
  <c r="AM249" i="42"/>
  <c r="U7" i="42"/>
  <c r="R7" i="42"/>
  <c r="AI249" i="42"/>
  <c r="AJ249" i="42"/>
  <c r="Q92" i="42"/>
  <c r="T7" i="42"/>
  <c r="T92" i="42"/>
  <c r="C244" i="42"/>
  <c r="AI100" i="42"/>
  <c r="AC249" i="42"/>
  <c r="AD249" i="42"/>
  <c r="M7" i="42"/>
  <c r="AE249" i="42"/>
  <c r="B244" i="42"/>
  <c r="AH100" i="42"/>
  <c r="L92" i="42"/>
  <c r="F229" i="42"/>
  <c r="G229" i="42" s="1"/>
  <c r="E235" i="42"/>
  <c r="H7" i="42"/>
  <c r="Z249" i="42"/>
  <c r="X7" i="42"/>
  <c r="AP249" i="42"/>
  <c r="X92" i="42"/>
  <c r="S7" i="42"/>
  <c r="S92" i="42"/>
  <c r="AK249" i="42"/>
  <c r="AH249" i="42"/>
  <c r="P7" i="42"/>
  <c r="P92" i="42"/>
  <c r="AA7" i="42"/>
  <c r="AA92" i="42"/>
  <c r="AS249" i="42"/>
  <c r="AI89" i="42"/>
  <c r="AH89" i="42"/>
  <c r="AF7" i="42"/>
  <c r="AX249" i="42"/>
  <c r="D270" i="42"/>
  <c r="F234" i="42"/>
  <c r="G234" i="42" s="1"/>
  <c r="AB89" i="41"/>
  <c r="AB91" i="41" s="1"/>
  <c r="AB92" i="41" s="1"/>
  <c r="N234" i="45" l="1"/>
  <c r="L270" i="45"/>
  <c r="M229" i="45"/>
  <c r="L110" i="45"/>
  <c r="H270" i="44"/>
  <c r="J234" i="44"/>
  <c r="I110" i="44"/>
  <c r="L229" i="44"/>
  <c r="H270" i="43"/>
  <c r="J234" i="43"/>
  <c r="H229" i="43"/>
  <c r="G235" i="43"/>
  <c r="G110" i="43"/>
  <c r="AI92" i="43"/>
  <c r="AH92" i="43"/>
  <c r="G235" i="42"/>
  <c r="K6" i="42"/>
  <c r="B7" i="42"/>
  <c r="A7" i="42" s="1"/>
  <c r="AI91" i="42"/>
  <c r="T249" i="42"/>
  <c r="AH91" i="42"/>
  <c r="E270" i="42"/>
  <c r="F235" i="42"/>
  <c r="N229" i="45" l="1"/>
  <c r="M110" i="45"/>
  <c r="M270" i="45"/>
  <c r="O234" i="45"/>
  <c r="K234" i="44"/>
  <c r="I270" i="44"/>
  <c r="J110" i="44"/>
  <c r="M229" i="44"/>
  <c r="I229" i="43"/>
  <c r="H110" i="43"/>
  <c r="H235" i="43"/>
  <c r="K234" i="43"/>
  <c r="I270" i="43"/>
  <c r="H234" i="42"/>
  <c r="G270" i="42" s="1"/>
  <c r="F270" i="42"/>
  <c r="H229" i="42"/>
  <c r="AI92" i="42"/>
  <c r="AH92" i="42"/>
  <c r="N270" i="45" l="1"/>
  <c r="P234" i="45"/>
  <c r="O270" i="45" s="1"/>
  <c r="O229" i="45"/>
  <c r="N110" i="45"/>
  <c r="L234" i="44"/>
  <c r="J270" i="44"/>
  <c r="K110" i="44"/>
  <c r="N229" i="44"/>
  <c r="J270" i="43"/>
  <c r="L234" i="43"/>
  <c r="I110" i="43"/>
  <c r="J229" i="43"/>
  <c r="I229" i="42"/>
  <c r="H235" i="42"/>
  <c r="I234" i="42"/>
  <c r="P229" i="45" l="1"/>
  <c r="O110" i="45"/>
  <c r="O229" i="44"/>
  <c r="K270" i="44"/>
  <c r="M234" i="44"/>
  <c r="L110" i="44"/>
  <c r="J110" i="43"/>
  <c r="K229" i="43"/>
  <c r="M234" i="43"/>
  <c r="K270" i="43"/>
  <c r="H270" i="42"/>
  <c r="J234" i="42"/>
  <c r="J229" i="42"/>
  <c r="AH110" i="45" l="1"/>
  <c r="AI110" i="45"/>
  <c r="L270" i="44"/>
  <c r="N234" i="44"/>
  <c r="M110" i="44"/>
  <c r="P229" i="44"/>
  <c r="L270" i="43"/>
  <c r="N234" i="43"/>
  <c r="K110" i="43"/>
  <c r="L229" i="43"/>
  <c r="K229" i="42"/>
  <c r="K110" i="42" s="1"/>
  <c r="K234" i="42"/>
  <c r="I270" i="42"/>
  <c r="O234" i="44" l="1"/>
  <c r="M270" i="44"/>
  <c r="N110" i="44"/>
  <c r="M229" i="43"/>
  <c r="L110" i="43"/>
  <c r="M270" i="43"/>
  <c r="O234" i="43"/>
  <c r="L229" i="42"/>
  <c r="J270" i="42"/>
  <c r="L234" i="42"/>
  <c r="N270" i="44" l="1"/>
  <c r="P234" i="44"/>
  <c r="O270" i="44" s="1"/>
  <c r="O110" i="44"/>
  <c r="N270" i="43"/>
  <c r="P234" i="43"/>
  <c r="O270" i="43" s="1"/>
  <c r="N229" i="43"/>
  <c r="M110" i="43"/>
  <c r="M234" i="42"/>
  <c r="K270" i="42"/>
  <c r="M229" i="42"/>
  <c r="L110" i="42"/>
  <c r="AH110" i="44" l="1"/>
  <c r="AI110" i="44"/>
  <c r="O229" i="43"/>
  <c r="N110" i="43"/>
  <c r="L270" i="42"/>
  <c r="N234" i="42"/>
  <c r="N229" i="42"/>
  <c r="M110" i="42"/>
  <c r="P229" i="43" l="1"/>
  <c r="O110" i="43"/>
  <c r="O229" i="42"/>
  <c r="N110" i="42"/>
  <c r="M270" i="42"/>
  <c r="O234" i="42"/>
  <c r="AI110" i="43" l="1"/>
  <c r="AH110" i="43"/>
  <c r="P234" i="42"/>
  <c r="O270" i="42" s="1"/>
  <c r="N270" i="42"/>
  <c r="P229" i="42"/>
  <c r="O110" i="42"/>
  <c r="AH110" i="42" l="1"/>
  <c r="AI110" i="42"/>
  <c r="AF274" i="41" l="1"/>
  <c r="AE274" i="41"/>
  <c r="AD274" i="41"/>
  <c r="AC274" i="41"/>
  <c r="AB274" i="41"/>
  <c r="AA274" i="41"/>
  <c r="Z274" i="41"/>
  <c r="Y274" i="41"/>
  <c r="X274" i="41"/>
  <c r="W274" i="41"/>
  <c r="V274" i="41"/>
  <c r="U274" i="41"/>
  <c r="T274" i="41"/>
  <c r="S274" i="41"/>
  <c r="R274" i="41"/>
  <c r="Q274" i="41"/>
  <c r="P274" i="41"/>
  <c r="O274" i="41"/>
  <c r="N274" i="41"/>
  <c r="M274" i="41"/>
  <c r="L274" i="41"/>
  <c r="K274" i="41"/>
  <c r="J274" i="41"/>
  <c r="I274" i="41"/>
  <c r="H274" i="41"/>
  <c r="G274" i="41"/>
  <c r="F274" i="41"/>
  <c r="E274" i="41"/>
  <c r="D274" i="41"/>
  <c r="C274" i="41"/>
  <c r="B274" i="41"/>
  <c r="A274" i="41"/>
  <c r="AF273" i="41"/>
  <c r="AE273" i="41"/>
  <c r="AD273" i="41"/>
  <c r="AC273" i="41"/>
  <c r="AB273" i="41"/>
  <c r="AA273" i="41"/>
  <c r="Z273" i="41"/>
  <c r="Y273" i="41"/>
  <c r="X273" i="41"/>
  <c r="W273" i="41"/>
  <c r="V273" i="41"/>
  <c r="U273" i="41"/>
  <c r="T273" i="41"/>
  <c r="S273" i="41"/>
  <c r="R273" i="41"/>
  <c r="Q273" i="41"/>
  <c r="P273" i="41"/>
  <c r="O273" i="41"/>
  <c r="N273" i="41"/>
  <c r="M273" i="41"/>
  <c r="L273" i="41"/>
  <c r="K273" i="41"/>
  <c r="J273" i="41"/>
  <c r="I273" i="41"/>
  <c r="H273" i="41"/>
  <c r="G273" i="41"/>
  <c r="F273" i="41"/>
  <c r="E273" i="41"/>
  <c r="D273" i="41"/>
  <c r="C273" i="41"/>
  <c r="B273" i="41"/>
  <c r="A273" i="41"/>
  <c r="AF272" i="41"/>
  <c r="AE272" i="41"/>
  <c r="AD272" i="41"/>
  <c r="AC272" i="41"/>
  <c r="AB272" i="41"/>
  <c r="AA272" i="41"/>
  <c r="Z272" i="41"/>
  <c r="Y272" i="41"/>
  <c r="X272" i="41"/>
  <c r="W272" i="41"/>
  <c r="V272" i="41"/>
  <c r="U272" i="41"/>
  <c r="T272" i="41"/>
  <c r="S272" i="41"/>
  <c r="R272" i="41"/>
  <c r="Q272" i="41"/>
  <c r="P272" i="41"/>
  <c r="O272" i="41"/>
  <c r="N272" i="41"/>
  <c r="M272" i="41"/>
  <c r="L272" i="41"/>
  <c r="K272" i="41"/>
  <c r="J272" i="41"/>
  <c r="I272" i="41"/>
  <c r="H272" i="41"/>
  <c r="G272" i="41"/>
  <c r="F272" i="41"/>
  <c r="E272" i="41"/>
  <c r="D272" i="41"/>
  <c r="C272" i="41"/>
  <c r="B272" i="41"/>
  <c r="A272" i="41"/>
  <c r="AF271" i="41"/>
  <c r="AE271" i="41"/>
  <c r="AD271" i="41"/>
  <c r="AC271" i="41"/>
  <c r="AB271" i="41"/>
  <c r="AA271" i="41"/>
  <c r="Z271" i="41"/>
  <c r="Y271" i="41"/>
  <c r="X271" i="41"/>
  <c r="W271" i="41"/>
  <c r="V271" i="41"/>
  <c r="U271" i="41"/>
  <c r="T271" i="41"/>
  <c r="S271" i="41"/>
  <c r="R271" i="41"/>
  <c r="Q271" i="41"/>
  <c r="P271" i="41"/>
  <c r="O271" i="41"/>
  <c r="N271" i="41"/>
  <c r="M271" i="41"/>
  <c r="L271" i="41"/>
  <c r="K271" i="41"/>
  <c r="J271" i="41"/>
  <c r="I271" i="41"/>
  <c r="H271" i="41"/>
  <c r="G271" i="41"/>
  <c r="F271" i="41"/>
  <c r="E271" i="41"/>
  <c r="D271" i="41"/>
  <c r="C271" i="41"/>
  <c r="B271" i="41"/>
  <c r="A271" i="41"/>
  <c r="AE270" i="41"/>
  <c r="AD270" i="41"/>
  <c r="AC270" i="41"/>
  <c r="AB270" i="41"/>
  <c r="AA270" i="41"/>
  <c r="Z270" i="41"/>
  <c r="Y270" i="41"/>
  <c r="X270" i="41"/>
  <c r="W270" i="41"/>
  <c r="V270" i="41"/>
  <c r="U270" i="41"/>
  <c r="T270" i="41"/>
  <c r="S270" i="41"/>
  <c r="R270" i="41"/>
  <c r="Q270" i="41"/>
  <c r="P270" i="41"/>
  <c r="B270" i="41"/>
  <c r="S245" i="41"/>
  <c r="AG235" i="41"/>
  <c r="AF235" i="41"/>
  <c r="AE235" i="41"/>
  <c r="AD235" i="41"/>
  <c r="AC235" i="41"/>
  <c r="AB235" i="41"/>
  <c r="AA235" i="41"/>
  <c r="Z235" i="41"/>
  <c r="Y235" i="41"/>
  <c r="X235" i="41"/>
  <c r="W235" i="41"/>
  <c r="V235" i="41"/>
  <c r="U235" i="41"/>
  <c r="T235" i="41"/>
  <c r="S235" i="41"/>
  <c r="R235" i="41"/>
  <c r="Q235" i="41"/>
  <c r="C235" i="41"/>
  <c r="D234" i="41"/>
  <c r="C270" i="41" s="1"/>
  <c r="B234" i="41"/>
  <c r="AF270" i="41" s="1"/>
  <c r="D233" i="41"/>
  <c r="E233" i="41" s="1"/>
  <c r="F233" i="41" s="1"/>
  <c r="G233" i="41" s="1"/>
  <c r="H233" i="41" s="1"/>
  <c r="I233" i="41" s="1"/>
  <c r="J233" i="41" s="1"/>
  <c r="K233" i="41" s="1"/>
  <c r="L233" i="41" s="1"/>
  <c r="M233" i="41" s="1"/>
  <c r="N233" i="41" s="1"/>
  <c r="O233" i="41" s="1"/>
  <c r="P233" i="41" s="1"/>
  <c r="B233" i="41"/>
  <c r="H232" i="41"/>
  <c r="I232" i="41" s="1"/>
  <c r="G232" i="41"/>
  <c r="F232" i="41"/>
  <c r="E232" i="41"/>
  <c r="D232" i="41"/>
  <c r="B232" i="41"/>
  <c r="F231" i="41"/>
  <c r="G231" i="41" s="1"/>
  <c r="H231" i="41" s="1"/>
  <c r="E231" i="41"/>
  <c r="D231" i="41"/>
  <c r="B231" i="41"/>
  <c r="D230" i="41"/>
  <c r="E230" i="41" s="1"/>
  <c r="F230" i="41" s="1"/>
  <c r="G230" i="41" s="1"/>
  <c r="H230" i="41" s="1"/>
  <c r="I230" i="41" s="1"/>
  <c r="J230" i="41" s="1"/>
  <c r="K230" i="41" s="1"/>
  <c r="L230" i="41" s="1"/>
  <c r="M230" i="41" s="1"/>
  <c r="N230" i="41" s="1"/>
  <c r="O230" i="41" s="1"/>
  <c r="P230" i="41" s="1"/>
  <c r="B230" i="41"/>
  <c r="D229" i="41"/>
  <c r="D235" i="41" s="1"/>
  <c r="B229" i="41"/>
  <c r="B235" i="41" s="1"/>
  <c r="AG227" i="41"/>
  <c r="AF227" i="41"/>
  <c r="AE227" i="41"/>
  <c r="AD227" i="41"/>
  <c r="AC227" i="41"/>
  <c r="AB227" i="41"/>
  <c r="AA227" i="41"/>
  <c r="Z227" i="41"/>
  <c r="Y227" i="41"/>
  <c r="X227" i="41"/>
  <c r="W227" i="41"/>
  <c r="V227" i="41"/>
  <c r="U227" i="41"/>
  <c r="T227" i="41"/>
  <c r="S227" i="41"/>
  <c r="R227" i="41"/>
  <c r="Q227" i="41"/>
  <c r="P227" i="41"/>
  <c r="O227" i="41"/>
  <c r="N227" i="41"/>
  <c r="M227" i="41"/>
  <c r="L227" i="41"/>
  <c r="K227" i="41"/>
  <c r="J227" i="41"/>
  <c r="I227" i="41"/>
  <c r="H227" i="41"/>
  <c r="G227" i="41"/>
  <c r="F227" i="41"/>
  <c r="E227" i="41"/>
  <c r="D227" i="41"/>
  <c r="C227" i="41"/>
  <c r="B227" i="41"/>
  <c r="AI120" i="41"/>
  <c r="AH120" i="41"/>
  <c r="AI119" i="41"/>
  <c r="AH119" i="41"/>
  <c r="AI118" i="41"/>
  <c r="AH118" i="41"/>
  <c r="AI117" i="41"/>
  <c r="AH117" i="41"/>
  <c r="AI116" i="41"/>
  <c r="AH116" i="41"/>
  <c r="AI115" i="41"/>
  <c r="AH115" i="41"/>
  <c r="AI114" i="41"/>
  <c r="AH114" i="41"/>
  <c r="AI113" i="41"/>
  <c r="AH113" i="41"/>
  <c r="AI112" i="41"/>
  <c r="AH112" i="41"/>
  <c r="AI111" i="41"/>
  <c r="AH111" i="41"/>
  <c r="AF110" i="41"/>
  <c r="AE110" i="41"/>
  <c r="AC110" i="41"/>
  <c r="AA110" i="41"/>
  <c r="Z110" i="41"/>
  <c r="Y110" i="41"/>
  <c r="X110" i="41"/>
  <c r="W110" i="41"/>
  <c r="V110" i="41"/>
  <c r="U110" i="41"/>
  <c r="T110" i="41"/>
  <c r="S110" i="41"/>
  <c r="R110" i="41"/>
  <c r="Q110" i="41"/>
  <c r="D110" i="41"/>
  <c r="C110" i="41"/>
  <c r="B110" i="41"/>
  <c r="AI109" i="41"/>
  <c r="AH109" i="41"/>
  <c r="AI108" i="41"/>
  <c r="AH108" i="41"/>
  <c r="AI107" i="41"/>
  <c r="AH107" i="41"/>
  <c r="AI106" i="41"/>
  <c r="AH106" i="41"/>
  <c r="AI105" i="41"/>
  <c r="AH105" i="41"/>
  <c r="AI104" i="41"/>
  <c r="AH104" i="41"/>
  <c r="AI103" i="41"/>
  <c r="AH103" i="41"/>
  <c r="AI102" i="41"/>
  <c r="AH102" i="41"/>
  <c r="AI101" i="41"/>
  <c r="AH101" i="41"/>
  <c r="I100" i="41"/>
  <c r="AI99" i="41"/>
  <c r="AH99" i="41"/>
  <c r="AI98" i="41"/>
  <c r="AH98" i="41"/>
  <c r="AI97" i="41"/>
  <c r="AH97" i="41"/>
  <c r="AI96" i="41"/>
  <c r="AH96" i="41"/>
  <c r="AI95" i="41"/>
  <c r="AH95" i="41"/>
  <c r="AI94" i="41"/>
  <c r="AH94" i="41"/>
  <c r="AI93" i="41"/>
  <c r="AH93" i="41"/>
  <c r="AI90" i="41"/>
  <c r="AH90" i="41"/>
  <c r="AI88" i="41"/>
  <c r="AH88" i="41"/>
  <c r="AG88" i="41"/>
  <c r="AI87" i="41"/>
  <c r="AH87" i="41"/>
  <c r="AI86" i="41"/>
  <c r="AH86" i="41"/>
  <c r="AI85" i="41"/>
  <c r="AH85" i="41"/>
  <c r="AN84" i="41"/>
  <c r="AG84" i="41"/>
  <c r="AF84" i="41"/>
  <c r="AF100" i="41" s="1"/>
  <c r="AE84" i="41"/>
  <c r="AE100" i="41" s="1"/>
  <c r="AD84" i="41"/>
  <c r="AD100" i="41" s="1"/>
  <c r="AC84" i="41"/>
  <c r="AC100" i="41" s="1"/>
  <c r="AA84" i="41"/>
  <c r="AA100" i="41" s="1"/>
  <c r="Z84" i="41"/>
  <c r="Z100" i="41" s="1"/>
  <c r="Y84" i="41"/>
  <c r="X5" i="41" s="1"/>
  <c r="X84" i="41"/>
  <c r="X100" i="41" s="1"/>
  <c r="W84" i="41"/>
  <c r="V5" i="41" s="1"/>
  <c r="V84" i="41"/>
  <c r="V100" i="41" s="1"/>
  <c r="U84" i="41"/>
  <c r="U100" i="41" s="1"/>
  <c r="T84" i="41"/>
  <c r="T100" i="41" s="1"/>
  <c r="S84" i="41"/>
  <c r="S100" i="41" s="1"/>
  <c r="R84" i="41"/>
  <c r="R100" i="41" s="1"/>
  <c r="Q84" i="41"/>
  <c r="P5" i="41" s="1"/>
  <c r="P84" i="41"/>
  <c r="P100" i="41" s="1"/>
  <c r="O84" i="41"/>
  <c r="N5" i="41" s="1"/>
  <c r="N84" i="41"/>
  <c r="N100" i="41" s="1"/>
  <c r="M84" i="41"/>
  <c r="M100" i="41" s="1"/>
  <c r="L84" i="41"/>
  <c r="L100" i="41" s="1"/>
  <c r="K84" i="41"/>
  <c r="K100" i="41" s="1"/>
  <c r="J84" i="41"/>
  <c r="J100" i="41" s="1"/>
  <c r="I84" i="41"/>
  <c r="H84" i="41"/>
  <c r="H100" i="41" s="1"/>
  <c r="G84" i="41"/>
  <c r="G100" i="41" s="1"/>
  <c r="F84" i="41"/>
  <c r="F100" i="41" s="1"/>
  <c r="E84" i="41"/>
  <c r="E100" i="41" s="1"/>
  <c r="D84" i="41"/>
  <c r="D100" i="41" s="1"/>
  <c r="C84" i="41"/>
  <c r="C100" i="41" s="1"/>
  <c r="B84" i="41"/>
  <c r="AI83" i="41"/>
  <c r="AH83" i="41"/>
  <c r="AN82" i="41"/>
  <c r="AI82" i="41"/>
  <c r="AH82" i="41"/>
  <c r="AN81" i="41"/>
  <c r="AN83" i="41" s="1"/>
  <c r="AI81" i="41"/>
  <c r="AH81" i="41"/>
  <c r="AI80" i="41"/>
  <c r="AH80" i="41"/>
  <c r="AI79" i="41"/>
  <c r="AH79" i="41"/>
  <c r="AI78" i="41"/>
  <c r="AH78" i="41"/>
  <c r="AI77" i="41"/>
  <c r="AH77" i="41"/>
  <c r="AI76" i="41"/>
  <c r="AH76" i="41"/>
  <c r="AI75" i="41"/>
  <c r="AH75" i="41"/>
  <c r="AI74" i="41"/>
  <c r="AH74" i="41"/>
  <c r="AI73" i="41"/>
  <c r="AH73" i="41"/>
  <c r="AG72" i="41"/>
  <c r="AF72" i="41"/>
  <c r="AE72" i="41"/>
  <c r="AD72" i="41"/>
  <c r="AC72" i="41"/>
  <c r="AA72" i="41"/>
  <c r="Z72" i="41"/>
  <c r="Y72" i="41"/>
  <c r="X72" i="41"/>
  <c r="W72" i="41"/>
  <c r="V72" i="41"/>
  <c r="U72" i="41"/>
  <c r="T72" i="41"/>
  <c r="S72" i="41"/>
  <c r="R72" i="41"/>
  <c r="Q72" i="41"/>
  <c r="P72" i="41"/>
  <c r="O72" i="41"/>
  <c r="N72" i="41"/>
  <c r="M72" i="41"/>
  <c r="B72" i="41"/>
  <c r="AI71" i="41"/>
  <c r="AH71" i="41"/>
  <c r="AI70" i="41"/>
  <c r="AH70" i="41"/>
  <c r="AI69" i="41"/>
  <c r="AH69" i="41"/>
  <c r="AF68" i="41"/>
  <c r="AE68" i="41"/>
  <c r="AD68" i="41"/>
  <c r="AC68" i="41"/>
  <c r="AA68" i="41"/>
  <c r="Z68" i="41"/>
  <c r="Y68" i="41"/>
  <c r="X68" i="41"/>
  <c r="W68" i="41"/>
  <c r="V68" i="41"/>
  <c r="U68" i="41"/>
  <c r="T68" i="41"/>
  <c r="S68" i="41"/>
  <c r="R68" i="41"/>
  <c r="Q68" i="41"/>
  <c r="P68" i="41"/>
  <c r="O68" i="41"/>
  <c r="N68" i="41"/>
  <c r="M68" i="41"/>
  <c r="L68" i="41"/>
  <c r="K68" i="41"/>
  <c r="J68" i="41"/>
  <c r="I68" i="41"/>
  <c r="H68" i="41"/>
  <c r="G68" i="41"/>
  <c r="F68" i="41"/>
  <c r="E68" i="41"/>
  <c r="D68" i="41"/>
  <c r="C68" i="41"/>
  <c r="B68" i="41"/>
  <c r="AI67" i="41"/>
  <c r="AH67" i="41"/>
  <c r="AG67" i="41"/>
  <c r="AG68" i="41" s="1"/>
  <c r="AG3" i="41" s="1"/>
  <c r="AI66" i="41"/>
  <c r="AH66" i="41"/>
  <c r="AI65" i="41"/>
  <c r="AH65" i="41"/>
  <c r="AI64" i="41"/>
  <c r="AH64" i="41"/>
  <c r="AI63" i="41"/>
  <c r="AH63" i="41"/>
  <c r="AI62" i="41"/>
  <c r="AH62" i="41"/>
  <c r="AI61" i="41"/>
  <c r="AH61" i="41"/>
  <c r="AI60" i="41"/>
  <c r="AH60" i="41"/>
  <c r="AI59" i="41"/>
  <c r="AH59" i="41"/>
  <c r="AI58" i="41"/>
  <c r="AH58" i="41"/>
  <c r="AI57" i="41"/>
  <c r="AH57" i="41"/>
  <c r="AI56" i="41"/>
  <c r="AH56" i="41"/>
  <c r="AI55" i="41"/>
  <c r="AH55" i="41"/>
  <c r="AG54" i="41"/>
  <c r="AF54" i="41"/>
  <c r="AE54" i="41"/>
  <c r="AD54" i="41"/>
  <c r="AC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F54" i="41"/>
  <c r="E54" i="41"/>
  <c r="D54" i="41"/>
  <c r="C54" i="41"/>
  <c r="B54" i="41"/>
  <c r="AI53" i="41"/>
  <c r="AH53" i="41"/>
  <c r="AI52" i="41"/>
  <c r="AH52" i="41"/>
  <c r="AI51" i="41"/>
  <c r="AH51" i="41"/>
  <c r="AG50" i="41"/>
  <c r="AF50" i="41"/>
  <c r="AE50" i="41"/>
  <c r="AE89" i="41" s="1"/>
  <c r="AE91" i="41" s="1"/>
  <c r="AD50" i="41"/>
  <c r="AC50" i="41"/>
  <c r="AC89" i="41" s="1"/>
  <c r="AC91" i="41" s="1"/>
  <c r="AA50" i="41"/>
  <c r="Z50" i="41"/>
  <c r="Y50" i="41"/>
  <c r="X50" i="41"/>
  <c r="W50" i="41"/>
  <c r="V50" i="41"/>
  <c r="U50" i="41"/>
  <c r="T50" i="41"/>
  <c r="S50" i="41"/>
  <c r="R50" i="41"/>
  <c r="Q50" i="41"/>
  <c r="P50" i="41"/>
  <c r="O50" i="41"/>
  <c r="N50" i="41"/>
  <c r="N89" i="41" s="1"/>
  <c r="N91" i="41" s="1"/>
  <c r="M50" i="41"/>
  <c r="L50" i="41"/>
  <c r="K50" i="41"/>
  <c r="J50" i="41"/>
  <c r="I50" i="41"/>
  <c r="H50" i="41"/>
  <c r="G50" i="41"/>
  <c r="F50" i="41"/>
  <c r="E50" i="41"/>
  <c r="D50" i="41"/>
  <c r="C50" i="41"/>
  <c r="B50" i="41"/>
  <c r="AI49" i="41"/>
  <c r="AH49" i="41"/>
  <c r="AI48" i="41"/>
  <c r="AH48" i="41"/>
  <c r="AI47" i="41"/>
  <c r="AH47" i="41"/>
  <c r="AI46" i="41"/>
  <c r="AH46" i="41"/>
  <c r="AI45" i="41"/>
  <c r="AH45" i="41"/>
  <c r="AI44" i="41"/>
  <c r="AH44" i="41"/>
  <c r="AI43" i="41"/>
  <c r="AH43" i="41"/>
  <c r="AI42" i="41"/>
  <c r="AH42" i="41"/>
  <c r="AI41" i="41"/>
  <c r="AH41" i="41"/>
  <c r="AI40" i="41"/>
  <c r="AH40" i="41"/>
  <c r="AI39" i="41"/>
  <c r="AH39" i="41"/>
  <c r="AI38" i="41"/>
  <c r="AH38" i="41"/>
  <c r="AI37" i="41"/>
  <c r="AH37" i="41"/>
  <c r="AI36" i="41"/>
  <c r="AH36" i="41"/>
  <c r="AI35" i="41"/>
  <c r="AH35" i="41"/>
  <c r="AI34" i="41"/>
  <c r="AH34" i="41"/>
  <c r="AI33" i="41"/>
  <c r="AH33" i="41"/>
  <c r="AI32" i="41"/>
  <c r="AH32" i="41"/>
  <c r="AI31" i="41"/>
  <c r="AH31" i="41"/>
  <c r="AI30" i="41"/>
  <c r="AH30" i="41"/>
  <c r="AI29" i="41"/>
  <c r="AH29" i="41"/>
  <c r="AI28" i="41"/>
  <c r="AH28" i="41"/>
  <c r="AI27" i="41"/>
  <c r="AH27" i="41"/>
  <c r="AI26" i="41"/>
  <c r="AH26" i="41"/>
  <c r="AI25" i="41"/>
  <c r="AH25" i="41"/>
  <c r="AI24" i="41"/>
  <c r="AH24" i="41"/>
  <c r="AI23" i="41"/>
  <c r="AH23" i="41"/>
  <c r="AI22" i="41"/>
  <c r="AH22" i="41"/>
  <c r="AI21" i="41"/>
  <c r="AH21" i="41"/>
  <c r="AI20" i="41"/>
  <c r="AH20" i="41"/>
  <c r="AI19" i="41"/>
  <c r="AH19" i="41"/>
  <c r="AI18" i="41"/>
  <c r="AH18" i="41"/>
  <c r="AI17" i="41"/>
  <c r="AH17" i="41"/>
  <c r="AI16" i="41"/>
  <c r="AH16" i="41"/>
  <c r="AI15" i="41"/>
  <c r="AH15" i="41"/>
  <c r="AI14" i="41"/>
  <c r="AH14" i="41"/>
  <c r="AI13" i="41"/>
  <c r="AH13" i="41"/>
  <c r="AI12" i="41"/>
  <c r="AH12" i="41"/>
  <c r="AI11" i="41"/>
  <c r="AH11" i="41"/>
  <c r="AC5" i="41"/>
  <c r="AA5" i="41"/>
  <c r="T5" i="41"/>
  <c r="M5" i="41"/>
  <c r="L5" i="41"/>
  <c r="H5" i="41"/>
  <c r="F5" i="41"/>
  <c r="AG4" i="41"/>
  <c r="K4" i="41"/>
  <c r="E4" i="41"/>
  <c r="H4" i="41" s="1"/>
  <c r="B4" i="41"/>
  <c r="S246" i="41" s="1"/>
  <c r="AD110" i="40"/>
  <c r="AE110" i="40"/>
  <c r="AB54" i="40"/>
  <c r="Z110" i="40"/>
  <c r="AA110" i="40"/>
  <c r="Z100" i="40"/>
  <c r="AA100" i="40"/>
  <c r="Z92" i="40"/>
  <c r="AA92" i="40"/>
  <c r="Z91" i="40"/>
  <c r="AA91" i="40"/>
  <c r="Z89" i="40"/>
  <c r="AA89" i="40"/>
  <c r="Z72" i="40"/>
  <c r="AA72" i="40"/>
  <c r="Z68" i="40"/>
  <c r="AA68" i="40"/>
  <c r="AA54" i="40"/>
  <c r="AA50" i="40"/>
  <c r="Z84" i="40"/>
  <c r="Z49" i="40"/>
  <c r="Y49" i="40"/>
  <c r="Y50" i="40"/>
  <c r="Y54" i="40"/>
  <c r="Y68" i="40"/>
  <c r="Y72" i="40"/>
  <c r="Y84" i="40"/>
  <c r="Y100" i="40" s="1"/>
  <c r="Y110" i="40"/>
  <c r="X49" i="40"/>
  <c r="X50" i="40"/>
  <c r="X54" i="40"/>
  <c r="X68" i="40"/>
  <c r="X72" i="40"/>
  <c r="X84" i="40"/>
  <c r="X89" i="40" s="1"/>
  <c r="X91" i="40" s="1"/>
  <c r="X92" i="40" s="1"/>
  <c r="X110" i="40"/>
  <c r="W49" i="40"/>
  <c r="W50" i="40"/>
  <c r="W54" i="40"/>
  <c r="W68" i="40"/>
  <c r="W72" i="40"/>
  <c r="W89" i="40" s="1"/>
  <c r="W91" i="40" s="1"/>
  <c r="W92" i="40" s="1"/>
  <c r="W84" i="40"/>
  <c r="W100" i="40" s="1"/>
  <c r="W110" i="40"/>
  <c r="V49" i="40"/>
  <c r="V50" i="40"/>
  <c r="V54" i="40"/>
  <c r="V68" i="40"/>
  <c r="V72" i="40"/>
  <c r="V84" i="40"/>
  <c r="V100" i="40" s="1"/>
  <c r="V110" i="40"/>
  <c r="U49" i="40"/>
  <c r="U50" i="40"/>
  <c r="U54" i="40"/>
  <c r="U68" i="40"/>
  <c r="U72" i="40"/>
  <c r="U84" i="40"/>
  <c r="U89" i="40" s="1"/>
  <c r="U91" i="40" s="1"/>
  <c r="U92" i="40" s="1"/>
  <c r="U110" i="40"/>
  <c r="T49" i="40"/>
  <c r="T50" i="40"/>
  <c r="T54" i="40"/>
  <c r="T68" i="40"/>
  <c r="T72" i="40"/>
  <c r="T84" i="40"/>
  <c r="T100" i="40" s="1"/>
  <c r="T110" i="40"/>
  <c r="S49" i="40"/>
  <c r="S50" i="40"/>
  <c r="S54" i="40"/>
  <c r="S68" i="40"/>
  <c r="S72" i="40"/>
  <c r="S84" i="40"/>
  <c r="S100" i="40" s="1"/>
  <c r="S110" i="40"/>
  <c r="R49" i="40"/>
  <c r="R50" i="40"/>
  <c r="R54" i="40"/>
  <c r="Q49" i="40"/>
  <c r="AF89" i="41" l="1"/>
  <c r="AF91" i="41" s="1"/>
  <c r="AD5" i="41"/>
  <c r="AB5" i="41"/>
  <c r="AD89" i="41"/>
  <c r="AD91" i="41" s="1"/>
  <c r="AD92" i="41" s="1"/>
  <c r="Z5" i="41"/>
  <c r="AA89" i="41"/>
  <c r="AA91" i="41" s="1"/>
  <c r="AS249" i="41" s="1"/>
  <c r="Z89" i="41"/>
  <c r="Z91" i="41" s="1"/>
  <c r="Z7" i="41" s="1"/>
  <c r="Y100" i="41"/>
  <c r="Y89" i="41"/>
  <c r="Y91" i="41" s="1"/>
  <c r="AQ249" i="41" s="1"/>
  <c r="X89" i="41"/>
  <c r="X91" i="41" s="1"/>
  <c r="AP249" i="41" s="1"/>
  <c r="W100" i="41"/>
  <c r="W89" i="41"/>
  <c r="W91" i="41" s="1"/>
  <c r="AO249" i="41" s="1"/>
  <c r="U5" i="41"/>
  <c r="V89" i="41"/>
  <c r="V91" i="41" s="1"/>
  <c r="V7" i="41" s="1"/>
  <c r="U89" i="41"/>
  <c r="U91" i="41" s="1"/>
  <c r="U92" i="41" s="1"/>
  <c r="S5" i="41"/>
  <c r="T89" i="41"/>
  <c r="T91" i="41" s="1"/>
  <c r="AL249" i="41" s="1"/>
  <c r="R5" i="41"/>
  <c r="S89" i="41"/>
  <c r="S91" i="41" s="1"/>
  <c r="S7" i="41" s="1"/>
  <c r="R89" i="41"/>
  <c r="R91" i="41" s="1"/>
  <c r="R7" i="41" s="1"/>
  <c r="Q100" i="41"/>
  <c r="AH72" i="41"/>
  <c r="Q89" i="41"/>
  <c r="Q91" i="41" s="1"/>
  <c r="Q92" i="41" s="1"/>
  <c r="P89" i="41"/>
  <c r="P91" i="41" s="1"/>
  <c r="P7" i="41" s="1"/>
  <c r="O100" i="41"/>
  <c r="O89" i="41"/>
  <c r="O91" i="41" s="1"/>
  <c r="O92" i="41" s="1"/>
  <c r="M89" i="41"/>
  <c r="M91" i="41" s="1"/>
  <c r="AE249" i="41" s="1"/>
  <c r="D5" i="41"/>
  <c r="E89" i="41"/>
  <c r="E91" i="41" s="1"/>
  <c r="E5" i="41"/>
  <c r="F89" i="41"/>
  <c r="F91" i="41" s="1"/>
  <c r="K5" i="41"/>
  <c r="J5" i="41"/>
  <c r="K89" i="41"/>
  <c r="K91" i="41" s="1"/>
  <c r="K7" i="41" s="1"/>
  <c r="I89" i="41"/>
  <c r="I91" i="41" s="1"/>
  <c r="I92" i="41" s="1"/>
  <c r="L89" i="41"/>
  <c r="L91" i="41" s="1"/>
  <c r="AD249" i="41" s="1"/>
  <c r="H89" i="41"/>
  <c r="H91" i="41" s="1"/>
  <c r="Z249" i="41" s="1"/>
  <c r="J89" i="41"/>
  <c r="J91" i="41" s="1"/>
  <c r="J7" i="41" s="1"/>
  <c r="G89" i="41"/>
  <c r="G91" i="41" s="1"/>
  <c r="Y249" i="41" s="1"/>
  <c r="AI54" i="41"/>
  <c r="C5" i="41"/>
  <c r="D89" i="41"/>
  <c r="D91" i="41" s="1"/>
  <c r="D92" i="41" s="1"/>
  <c r="AH84" i="41"/>
  <c r="B5" i="41"/>
  <c r="AI68" i="41"/>
  <c r="C89" i="41"/>
  <c r="C91" i="41" s="1"/>
  <c r="C92" i="41" s="1"/>
  <c r="AF5" i="41"/>
  <c r="B89" i="41"/>
  <c r="D246" i="41"/>
  <c r="AW249" i="41"/>
  <c r="AE7" i="41"/>
  <c r="AE92" i="41"/>
  <c r="AG89" i="41"/>
  <c r="F7" i="41"/>
  <c r="X249" i="41"/>
  <c r="F92" i="41"/>
  <c r="X92" i="41"/>
  <c r="X7" i="41"/>
  <c r="AF249" i="41"/>
  <c r="N7" i="41"/>
  <c r="N92" i="41"/>
  <c r="AB7" i="41"/>
  <c r="AT249" i="41"/>
  <c r="AF7" i="41"/>
  <c r="AF92" i="41"/>
  <c r="AX249" i="41"/>
  <c r="AC92" i="41"/>
  <c r="AU249" i="41"/>
  <c r="AC7" i="41"/>
  <c r="J232" i="41"/>
  <c r="K232" i="41" s="1"/>
  <c r="L232" i="41" s="1"/>
  <c r="M232" i="41" s="1"/>
  <c r="N232" i="41" s="1"/>
  <c r="O232" i="41" s="1"/>
  <c r="P232" i="41" s="1"/>
  <c r="AR249" i="41"/>
  <c r="Z92" i="41"/>
  <c r="E92" i="41"/>
  <c r="W249" i="41"/>
  <c r="E7" i="41"/>
  <c r="AG91" i="41"/>
  <c r="AH68" i="41"/>
  <c r="G5" i="41"/>
  <c r="O5" i="41"/>
  <c r="W5" i="41"/>
  <c r="AE5" i="41"/>
  <c r="E234" i="41"/>
  <c r="I5" i="41"/>
  <c r="Q5" i="41"/>
  <c r="Y5" i="41"/>
  <c r="AH50" i="41"/>
  <c r="AH54" i="41"/>
  <c r="AI84" i="41"/>
  <c r="B100" i="41"/>
  <c r="E229" i="41"/>
  <c r="AI50" i="41"/>
  <c r="AG2" i="41"/>
  <c r="AG6" i="41" s="1"/>
  <c r="AI72" i="41"/>
  <c r="Y89" i="40"/>
  <c r="Y91" i="40" s="1"/>
  <c r="Y92" i="40" s="1"/>
  <c r="X100" i="40"/>
  <c r="V89" i="40"/>
  <c r="V91" i="40" s="1"/>
  <c r="V92" i="40" s="1"/>
  <c r="U100" i="40"/>
  <c r="T89" i="40"/>
  <c r="T91" i="40" s="1"/>
  <c r="T92" i="40" s="1"/>
  <c r="S89" i="40"/>
  <c r="S91" i="40" s="1"/>
  <c r="S92" i="40" s="1"/>
  <c r="AV249" i="41" l="1"/>
  <c r="AD7" i="41"/>
  <c r="Y92" i="41"/>
  <c r="Y7" i="41"/>
  <c r="AA7" i="41"/>
  <c r="AA92" i="41"/>
  <c r="W92" i="41"/>
  <c r="W7" i="41"/>
  <c r="AN249" i="41"/>
  <c r="U7" i="41"/>
  <c r="AM249" i="41"/>
  <c r="V92" i="41"/>
  <c r="T7" i="41"/>
  <c r="AK249" i="41"/>
  <c r="S92" i="41"/>
  <c r="T92" i="41"/>
  <c r="R92" i="41"/>
  <c r="AJ249" i="41"/>
  <c r="AI249" i="41"/>
  <c r="Q7" i="41"/>
  <c r="AH249" i="41"/>
  <c r="P92" i="41"/>
  <c r="AG249" i="41"/>
  <c r="O7" i="41"/>
  <c r="M92" i="41"/>
  <c r="M7" i="41"/>
  <c r="H7" i="41"/>
  <c r="H92" i="41"/>
  <c r="AC249" i="41"/>
  <c r="I7" i="41"/>
  <c r="AA249" i="41"/>
  <c r="K92" i="41"/>
  <c r="J92" i="41"/>
  <c r="AB249" i="41"/>
  <c r="G92" i="41"/>
  <c r="G7" i="41"/>
  <c r="B244" i="41"/>
  <c r="L92" i="41"/>
  <c r="L7" i="41"/>
  <c r="C244" i="41"/>
  <c r="K6" i="41" s="1"/>
  <c r="D7" i="41"/>
  <c r="V249" i="41"/>
  <c r="C7" i="41"/>
  <c r="AI89" i="41"/>
  <c r="U249" i="41"/>
  <c r="AH89" i="41"/>
  <c r="B91" i="41"/>
  <c r="T249" i="41" s="1"/>
  <c r="F229" i="41"/>
  <c r="E110" i="41"/>
  <c r="E235" i="41"/>
  <c r="F234" i="41"/>
  <c r="D270" i="41"/>
  <c r="AH100" i="41"/>
  <c r="AI100" i="41"/>
  <c r="B92" i="41" l="1"/>
  <c r="AI92" i="41" s="1"/>
  <c r="B7" i="41"/>
  <c r="A7" i="41" s="1"/>
  <c r="AH91" i="41"/>
  <c r="AI91" i="41"/>
  <c r="E270" i="41"/>
  <c r="G234" i="41"/>
  <c r="G229" i="41"/>
  <c r="F110" i="41"/>
  <c r="F235" i="41"/>
  <c r="AH92" i="41" l="1"/>
  <c r="F270" i="41"/>
  <c r="H234" i="41"/>
  <c r="H229" i="41"/>
  <c r="G235" i="41"/>
  <c r="G110" i="41"/>
  <c r="I229" i="41" l="1"/>
  <c r="H110" i="41"/>
  <c r="H235" i="41"/>
  <c r="G270" i="41"/>
  <c r="I234" i="41"/>
  <c r="H270" i="41" l="1"/>
  <c r="J234" i="41"/>
  <c r="I110" i="41"/>
  <c r="J229" i="41"/>
  <c r="J110" i="41" l="1"/>
  <c r="K229" i="41"/>
  <c r="K234" i="41"/>
  <c r="I270" i="41"/>
  <c r="P49" i="40"/>
  <c r="O49" i="40"/>
  <c r="J270" i="41" l="1"/>
  <c r="L234" i="41"/>
  <c r="K110" i="41"/>
  <c r="L229" i="41"/>
  <c r="N49" i="40"/>
  <c r="L110" i="41" l="1"/>
  <c r="M229" i="41"/>
  <c r="K270" i="41"/>
  <c r="M234" i="41"/>
  <c r="M49" i="40"/>
  <c r="L50" i="40"/>
  <c r="C49" i="40"/>
  <c r="D49" i="40"/>
  <c r="B49" i="40"/>
  <c r="AF274" i="40"/>
  <c r="AE274" i="40"/>
  <c r="AD274" i="40"/>
  <c r="AC274" i="40"/>
  <c r="AB274" i="40"/>
  <c r="AA274" i="40"/>
  <c r="Z274" i="40"/>
  <c r="Y274" i="40"/>
  <c r="X274" i="40"/>
  <c r="W274" i="40"/>
  <c r="V274" i="40"/>
  <c r="U274" i="40"/>
  <c r="T274" i="40"/>
  <c r="S274" i="40"/>
  <c r="R274" i="40"/>
  <c r="Q274" i="40"/>
  <c r="P274" i="40"/>
  <c r="O274" i="40"/>
  <c r="N274" i="40"/>
  <c r="M274" i="40"/>
  <c r="L274" i="40"/>
  <c r="K274" i="40"/>
  <c r="J274" i="40"/>
  <c r="I274" i="40"/>
  <c r="H274" i="40"/>
  <c r="G274" i="40"/>
  <c r="F274" i="40"/>
  <c r="E274" i="40"/>
  <c r="D274" i="40"/>
  <c r="C274" i="40"/>
  <c r="B274" i="40"/>
  <c r="A274" i="40"/>
  <c r="AF273" i="40"/>
  <c r="AE273" i="40"/>
  <c r="AD273" i="40"/>
  <c r="AC273" i="40"/>
  <c r="AB273" i="40"/>
  <c r="AA273" i="40"/>
  <c r="Z273" i="40"/>
  <c r="Y273" i="40"/>
  <c r="X273" i="40"/>
  <c r="W273" i="40"/>
  <c r="V273" i="40"/>
  <c r="U273" i="40"/>
  <c r="T273" i="40"/>
  <c r="S273" i="40"/>
  <c r="R273" i="40"/>
  <c r="Q273" i="40"/>
  <c r="P273" i="40"/>
  <c r="O273" i="40"/>
  <c r="N273" i="40"/>
  <c r="M273" i="40"/>
  <c r="L273" i="40"/>
  <c r="K273" i="40"/>
  <c r="J273" i="40"/>
  <c r="I273" i="40"/>
  <c r="H273" i="40"/>
  <c r="G273" i="40"/>
  <c r="F273" i="40"/>
  <c r="E273" i="40"/>
  <c r="D273" i="40"/>
  <c r="C273" i="40"/>
  <c r="B273" i="40"/>
  <c r="A273" i="40"/>
  <c r="AF272" i="40"/>
  <c r="AE272" i="40"/>
  <c r="AD272" i="40"/>
  <c r="AC272" i="40"/>
  <c r="AB272" i="40"/>
  <c r="AA272" i="40"/>
  <c r="Z272" i="40"/>
  <c r="Y272" i="40"/>
  <c r="X272" i="40"/>
  <c r="W272" i="40"/>
  <c r="V272" i="40"/>
  <c r="U272" i="40"/>
  <c r="T272" i="40"/>
  <c r="S272" i="40"/>
  <c r="R272" i="40"/>
  <c r="Q272" i="40"/>
  <c r="P272" i="40"/>
  <c r="O272" i="40"/>
  <c r="N272" i="40"/>
  <c r="M272" i="40"/>
  <c r="L272" i="40"/>
  <c r="K272" i="40"/>
  <c r="J272" i="40"/>
  <c r="I272" i="40"/>
  <c r="H272" i="40"/>
  <c r="G272" i="40"/>
  <c r="F272" i="40"/>
  <c r="E272" i="40"/>
  <c r="D272" i="40"/>
  <c r="C272" i="40"/>
  <c r="B272" i="40"/>
  <c r="A272" i="40"/>
  <c r="AF271" i="40"/>
  <c r="AE271" i="40"/>
  <c r="AD271" i="40"/>
  <c r="AC271" i="40"/>
  <c r="AB271" i="40"/>
  <c r="AA271" i="40"/>
  <c r="Z271" i="40"/>
  <c r="Y271" i="40"/>
  <c r="X271" i="40"/>
  <c r="W271" i="40"/>
  <c r="V271" i="40"/>
  <c r="U271" i="40"/>
  <c r="T271" i="40"/>
  <c r="S271" i="40"/>
  <c r="R271" i="40"/>
  <c r="Q271" i="40"/>
  <c r="P271" i="40"/>
  <c r="O271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B271" i="40"/>
  <c r="A271" i="40"/>
  <c r="AE270" i="40"/>
  <c r="AD270" i="40"/>
  <c r="AC270" i="40"/>
  <c r="AB270" i="40"/>
  <c r="AA270" i="40"/>
  <c r="Z270" i="40"/>
  <c r="Y270" i="40"/>
  <c r="X270" i="40"/>
  <c r="W270" i="40"/>
  <c r="V270" i="40"/>
  <c r="U270" i="40"/>
  <c r="T270" i="40"/>
  <c r="S270" i="40"/>
  <c r="R270" i="40"/>
  <c r="Q270" i="40"/>
  <c r="P270" i="40"/>
  <c r="B270" i="40"/>
  <c r="S245" i="40"/>
  <c r="AG235" i="40"/>
  <c r="AF235" i="40"/>
  <c r="AE235" i="40"/>
  <c r="AD235" i="40"/>
  <c r="AC235" i="40"/>
  <c r="AB235" i="40"/>
  <c r="AA235" i="40"/>
  <c r="Z235" i="40"/>
  <c r="Y235" i="40"/>
  <c r="X235" i="40"/>
  <c r="W235" i="40"/>
  <c r="V235" i="40"/>
  <c r="U235" i="40"/>
  <c r="T235" i="40"/>
  <c r="S235" i="40"/>
  <c r="R235" i="40"/>
  <c r="Q235" i="40"/>
  <c r="C235" i="40"/>
  <c r="D234" i="40"/>
  <c r="C270" i="40" s="1"/>
  <c r="B234" i="40"/>
  <c r="AF270" i="40" s="1"/>
  <c r="D233" i="40"/>
  <c r="E233" i="40" s="1"/>
  <c r="F233" i="40" s="1"/>
  <c r="G233" i="40" s="1"/>
  <c r="H233" i="40" s="1"/>
  <c r="I233" i="40" s="1"/>
  <c r="J233" i="40" s="1"/>
  <c r="K233" i="40" s="1"/>
  <c r="L233" i="40" s="1"/>
  <c r="M233" i="40" s="1"/>
  <c r="N233" i="40" s="1"/>
  <c r="O233" i="40" s="1"/>
  <c r="P233" i="40" s="1"/>
  <c r="B233" i="40"/>
  <c r="H232" i="40"/>
  <c r="I232" i="40" s="1"/>
  <c r="G232" i="40"/>
  <c r="F232" i="40"/>
  <c r="E232" i="40"/>
  <c r="D232" i="40"/>
  <c r="B232" i="40"/>
  <c r="F231" i="40"/>
  <c r="G231" i="40" s="1"/>
  <c r="H231" i="40" s="1"/>
  <c r="E231" i="40"/>
  <c r="D231" i="40"/>
  <c r="B231" i="40"/>
  <c r="D230" i="40"/>
  <c r="D235" i="40" s="1"/>
  <c r="B230" i="40"/>
  <c r="E229" i="40"/>
  <c r="F229" i="40" s="1"/>
  <c r="D229" i="40"/>
  <c r="B229" i="40"/>
  <c r="B110" i="40" s="1"/>
  <c r="AG227" i="40"/>
  <c r="AF227" i="40"/>
  <c r="AE227" i="40"/>
  <c r="AD227" i="40"/>
  <c r="AC227" i="40"/>
  <c r="AB227" i="40"/>
  <c r="AA227" i="40"/>
  <c r="Z227" i="40"/>
  <c r="Y227" i="40"/>
  <c r="X227" i="40"/>
  <c r="W227" i="40"/>
  <c r="V227" i="40"/>
  <c r="U227" i="40"/>
  <c r="T227" i="40"/>
  <c r="S227" i="40"/>
  <c r="R227" i="40"/>
  <c r="Q227" i="40"/>
  <c r="P227" i="40"/>
  <c r="O227" i="40"/>
  <c r="N227" i="40"/>
  <c r="M227" i="40"/>
  <c r="L227" i="40"/>
  <c r="K227" i="40"/>
  <c r="J227" i="40"/>
  <c r="I227" i="40"/>
  <c r="H227" i="40"/>
  <c r="G227" i="40"/>
  <c r="F227" i="40"/>
  <c r="E227" i="40"/>
  <c r="D227" i="40"/>
  <c r="C227" i="40"/>
  <c r="B227" i="40"/>
  <c r="AI120" i="40"/>
  <c r="AH120" i="40"/>
  <c r="AI119" i="40"/>
  <c r="AH119" i="40"/>
  <c r="AI118" i="40"/>
  <c r="AH118" i="40"/>
  <c r="AI117" i="40"/>
  <c r="AH117" i="40"/>
  <c r="AI116" i="40"/>
  <c r="AH116" i="40"/>
  <c r="AI115" i="40"/>
  <c r="AH115" i="40"/>
  <c r="AI114" i="40"/>
  <c r="AH114" i="40"/>
  <c r="AI113" i="40"/>
  <c r="AH113" i="40"/>
  <c r="AI112" i="40"/>
  <c r="AH112" i="40"/>
  <c r="AI111" i="40"/>
  <c r="AH111" i="40"/>
  <c r="AF110" i="40"/>
  <c r="AC110" i="40"/>
  <c r="AB110" i="40"/>
  <c r="R110" i="40"/>
  <c r="Q110" i="40"/>
  <c r="D110" i="40"/>
  <c r="C110" i="40"/>
  <c r="AI109" i="40"/>
  <c r="AH109" i="40"/>
  <c r="AI108" i="40"/>
  <c r="AH108" i="40"/>
  <c r="AI107" i="40"/>
  <c r="AH107" i="40"/>
  <c r="AI106" i="40"/>
  <c r="AH106" i="40"/>
  <c r="AI105" i="40"/>
  <c r="AH105" i="40"/>
  <c r="AI104" i="40"/>
  <c r="AH104" i="40"/>
  <c r="AI103" i="40"/>
  <c r="AH103" i="40"/>
  <c r="AI102" i="40"/>
  <c r="AH102" i="40"/>
  <c r="AI101" i="40"/>
  <c r="AH101" i="40"/>
  <c r="AI99" i="40"/>
  <c r="AH99" i="40"/>
  <c r="AI98" i="40"/>
  <c r="AH98" i="40"/>
  <c r="AI97" i="40"/>
  <c r="AH97" i="40"/>
  <c r="AI96" i="40"/>
  <c r="AH96" i="40"/>
  <c r="AI95" i="40"/>
  <c r="AH95" i="40"/>
  <c r="AI94" i="40"/>
  <c r="AH94" i="40"/>
  <c r="AI93" i="40"/>
  <c r="AH93" i="40"/>
  <c r="AI90" i="40"/>
  <c r="AH90" i="40"/>
  <c r="AI88" i="40"/>
  <c r="AH88" i="40"/>
  <c r="AG88" i="40"/>
  <c r="AI87" i="40"/>
  <c r="AH87" i="40"/>
  <c r="AI86" i="40"/>
  <c r="AH86" i="40"/>
  <c r="AI85" i="40"/>
  <c r="AH85" i="40"/>
  <c r="AN84" i="40"/>
  <c r="AG84" i="40"/>
  <c r="AG91" i="40" s="1"/>
  <c r="AF84" i="40"/>
  <c r="AF100" i="40" s="1"/>
  <c r="AE84" i="40"/>
  <c r="AD5" i="40" s="1"/>
  <c r="AD84" i="40"/>
  <c r="AD100" i="40" s="1"/>
  <c r="AC84" i="40"/>
  <c r="AC100" i="40" s="1"/>
  <c r="AB84" i="40"/>
  <c r="AB100" i="40" s="1"/>
  <c r="R84" i="40"/>
  <c r="R100" i="40" s="1"/>
  <c r="Q84" i="40"/>
  <c r="Q100" i="40" s="1"/>
  <c r="P84" i="40"/>
  <c r="P100" i="40" s="1"/>
  <c r="O84" i="40"/>
  <c r="O100" i="40" s="1"/>
  <c r="N84" i="40"/>
  <c r="N100" i="40" s="1"/>
  <c r="M84" i="40"/>
  <c r="M100" i="40" s="1"/>
  <c r="L84" i="40"/>
  <c r="L100" i="40" s="1"/>
  <c r="K84" i="40"/>
  <c r="K100" i="40" s="1"/>
  <c r="J84" i="40"/>
  <c r="J100" i="40" s="1"/>
  <c r="I84" i="40"/>
  <c r="I100" i="40" s="1"/>
  <c r="H84" i="40"/>
  <c r="G5" i="40" s="1"/>
  <c r="G84" i="40"/>
  <c r="G100" i="40" s="1"/>
  <c r="F84" i="40"/>
  <c r="F100" i="40" s="1"/>
  <c r="E84" i="40"/>
  <c r="E100" i="40" s="1"/>
  <c r="D84" i="40"/>
  <c r="D100" i="40" s="1"/>
  <c r="C84" i="40"/>
  <c r="C100" i="40" s="1"/>
  <c r="B84" i="40"/>
  <c r="B100" i="40" s="1"/>
  <c r="AN83" i="40"/>
  <c r="AI83" i="40"/>
  <c r="AH83" i="40"/>
  <c r="AN82" i="40"/>
  <c r="AI82" i="40"/>
  <c r="AH82" i="40"/>
  <c r="AN81" i="40"/>
  <c r="AI81" i="40"/>
  <c r="AH81" i="40"/>
  <c r="AI80" i="40"/>
  <c r="AH80" i="40"/>
  <c r="AI79" i="40"/>
  <c r="AH79" i="40"/>
  <c r="AI78" i="40"/>
  <c r="AH78" i="40"/>
  <c r="AI77" i="40"/>
  <c r="AH77" i="40"/>
  <c r="AI76" i="40"/>
  <c r="AH76" i="40"/>
  <c r="AI75" i="40"/>
  <c r="AH75" i="40"/>
  <c r="AI74" i="40"/>
  <c r="AH74" i="40"/>
  <c r="AI73" i="40"/>
  <c r="AH73" i="40"/>
  <c r="AG72" i="40"/>
  <c r="AF72" i="40"/>
  <c r="AE72" i="40"/>
  <c r="AD72" i="40"/>
  <c r="AC72" i="40"/>
  <c r="AB72" i="40"/>
  <c r="R72" i="40"/>
  <c r="Q72" i="40"/>
  <c r="P72" i="40"/>
  <c r="O72" i="40"/>
  <c r="N72" i="40"/>
  <c r="M72" i="40"/>
  <c r="L72" i="40"/>
  <c r="B72" i="40"/>
  <c r="AI71" i="40"/>
  <c r="AH71" i="40"/>
  <c r="AI70" i="40"/>
  <c r="AH70" i="40"/>
  <c r="AI69" i="40"/>
  <c r="AH69" i="40"/>
  <c r="AF68" i="40"/>
  <c r="AE68" i="40"/>
  <c r="AD68" i="40"/>
  <c r="AC68" i="40"/>
  <c r="AB68" i="40"/>
  <c r="R68" i="40"/>
  <c r="Q68" i="40"/>
  <c r="P68" i="40"/>
  <c r="O68" i="40"/>
  <c r="N68" i="40"/>
  <c r="M68" i="40"/>
  <c r="L68" i="40"/>
  <c r="K68" i="40"/>
  <c r="J68" i="40"/>
  <c r="I68" i="40"/>
  <c r="H68" i="40"/>
  <c r="G68" i="40"/>
  <c r="F68" i="40"/>
  <c r="E68" i="40"/>
  <c r="D68" i="40"/>
  <c r="C68" i="40"/>
  <c r="B68" i="40"/>
  <c r="AI67" i="40"/>
  <c r="AH67" i="40"/>
  <c r="AG67" i="40"/>
  <c r="AG68" i="40" s="1"/>
  <c r="AG3" i="40" s="1"/>
  <c r="AI66" i="40"/>
  <c r="AH66" i="40"/>
  <c r="AI65" i="40"/>
  <c r="AH65" i="40"/>
  <c r="AI64" i="40"/>
  <c r="AH64" i="40"/>
  <c r="AI63" i="40"/>
  <c r="AH63" i="40"/>
  <c r="AI62" i="40"/>
  <c r="AH62" i="40"/>
  <c r="AI61" i="40"/>
  <c r="AH61" i="40"/>
  <c r="AI60" i="40"/>
  <c r="AH60" i="40"/>
  <c r="AI59" i="40"/>
  <c r="AH59" i="40"/>
  <c r="AI58" i="40"/>
  <c r="AH58" i="40"/>
  <c r="AI57" i="40"/>
  <c r="AH57" i="40"/>
  <c r="AI56" i="40"/>
  <c r="AH56" i="40"/>
  <c r="AI55" i="40"/>
  <c r="AH55" i="40"/>
  <c r="AG54" i="40"/>
  <c r="AF54" i="40"/>
  <c r="AE54" i="40"/>
  <c r="AD54" i="40"/>
  <c r="AC54" i="40"/>
  <c r="Z54" i="40"/>
  <c r="Q54" i="40"/>
  <c r="P54" i="40"/>
  <c r="O54" i="40"/>
  <c r="N54" i="40"/>
  <c r="M54" i="40"/>
  <c r="L54" i="40"/>
  <c r="K54" i="40"/>
  <c r="J54" i="40"/>
  <c r="I54" i="40"/>
  <c r="H54" i="40"/>
  <c r="G54" i="40"/>
  <c r="F54" i="40"/>
  <c r="E54" i="40"/>
  <c r="D54" i="40"/>
  <c r="C54" i="40"/>
  <c r="B54" i="40"/>
  <c r="AI53" i="40"/>
  <c r="AH53" i="40"/>
  <c r="AI52" i="40"/>
  <c r="AH52" i="40"/>
  <c r="AI51" i="40"/>
  <c r="AH51" i="40"/>
  <c r="AG50" i="40"/>
  <c r="AF50" i="40"/>
  <c r="AE50" i="40"/>
  <c r="AD50" i="40"/>
  <c r="AC50" i="40"/>
  <c r="AB50" i="40"/>
  <c r="Z50" i="40"/>
  <c r="Q50" i="40"/>
  <c r="P50" i="40"/>
  <c r="O50" i="40"/>
  <c r="N50" i="40"/>
  <c r="M50" i="40"/>
  <c r="K50" i="40"/>
  <c r="J50" i="40"/>
  <c r="I50" i="40"/>
  <c r="H50" i="40"/>
  <c r="G50" i="40"/>
  <c r="F50" i="40"/>
  <c r="E50" i="40"/>
  <c r="D50" i="40"/>
  <c r="C50" i="40"/>
  <c r="B50" i="40"/>
  <c r="AI49" i="40"/>
  <c r="AH49" i="40"/>
  <c r="AI48" i="40"/>
  <c r="AH48" i="40"/>
  <c r="AI47" i="40"/>
  <c r="AH47" i="40"/>
  <c r="AI46" i="40"/>
  <c r="AH46" i="40"/>
  <c r="AI45" i="40"/>
  <c r="AH45" i="40"/>
  <c r="AI44" i="40"/>
  <c r="AH44" i="40"/>
  <c r="AI43" i="40"/>
  <c r="AH43" i="40"/>
  <c r="AI42" i="40"/>
  <c r="AH42" i="40"/>
  <c r="AI41" i="40"/>
  <c r="AH41" i="40"/>
  <c r="AI40" i="40"/>
  <c r="AH40" i="40"/>
  <c r="AI39" i="40"/>
  <c r="AH39" i="40"/>
  <c r="AI38" i="40"/>
  <c r="AH38" i="40"/>
  <c r="AI37" i="40"/>
  <c r="AH37" i="40"/>
  <c r="AI36" i="40"/>
  <c r="AH36" i="40"/>
  <c r="AI35" i="40"/>
  <c r="AH35" i="40"/>
  <c r="AI34" i="40"/>
  <c r="AH34" i="40"/>
  <c r="AI33" i="40"/>
  <c r="AH33" i="40"/>
  <c r="AI32" i="40"/>
  <c r="AH32" i="40"/>
  <c r="AI31" i="40"/>
  <c r="AH31" i="40"/>
  <c r="AI30" i="40"/>
  <c r="AH30" i="40"/>
  <c r="AI29" i="40"/>
  <c r="AH29" i="40"/>
  <c r="AI28" i="40"/>
  <c r="AH28" i="40"/>
  <c r="AI27" i="40"/>
  <c r="AH27" i="40"/>
  <c r="AI26" i="40"/>
  <c r="AH26" i="40"/>
  <c r="AI25" i="40"/>
  <c r="AH25" i="40"/>
  <c r="AI24" i="40"/>
  <c r="AH24" i="40"/>
  <c r="AI23" i="40"/>
  <c r="AH23" i="40"/>
  <c r="AI22" i="40"/>
  <c r="AH22" i="40"/>
  <c r="AI21" i="40"/>
  <c r="AH21" i="40"/>
  <c r="AI20" i="40"/>
  <c r="AH20" i="40"/>
  <c r="AI19" i="40"/>
  <c r="AH19" i="40"/>
  <c r="AI18" i="40"/>
  <c r="AH18" i="40"/>
  <c r="AI17" i="40"/>
  <c r="AH17" i="40"/>
  <c r="AI16" i="40"/>
  <c r="AH16" i="40"/>
  <c r="AI15" i="40"/>
  <c r="AH15" i="40"/>
  <c r="AI14" i="40"/>
  <c r="AH14" i="40"/>
  <c r="AI13" i="40"/>
  <c r="AH13" i="40"/>
  <c r="AI12" i="40"/>
  <c r="AH12" i="40"/>
  <c r="AI11" i="40"/>
  <c r="AH11" i="40"/>
  <c r="Z5" i="40"/>
  <c r="Y5" i="40"/>
  <c r="V5" i="40"/>
  <c r="U5" i="40"/>
  <c r="T5" i="40"/>
  <c r="S5" i="40"/>
  <c r="R5" i="40"/>
  <c r="J5" i="40"/>
  <c r="I5" i="40"/>
  <c r="AG4" i="40"/>
  <c r="K4" i="40"/>
  <c r="E4" i="40"/>
  <c r="H4" i="40" s="1"/>
  <c r="B4" i="40"/>
  <c r="S246" i="40" s="1"/>
  <c r="AG2" i="40"/>
  <c r="AG6" i="40" s="1"/>
  <c r="AF84" i="39"/>
  <c r="AF49" i="39"/>
  <c r="N234" i="41" l="1"/>
  <c r="L270" i="41"/>
  <c r="N229" i="41"/>
  <c r="M110" i="41"/>
  <c r="AF89" i="40"/>
  <c r="AF91" i="40" s="1"/>
  <c r="AX249" i="40" s="1"/>
  <c r="AE89" i="40"/>
  <c r="AE91" i="40" s="1"/>
  <c r="AW249" i="40" s="1"/>
  <c r="AE100" i="40"/>
  <c r="AC5" i="40"/>
  <c r="AD89" i="40"/>
  <c r="AD91" i="40" s="1"/>
  <c r="AD92" i="40" s="1"/>
  <c r="AB5" i="40"/>
  <c r="AC89" i="40"/>
  <c r="AC91" i="40" s="1"/>
  <c r="AU249" i="40" s="1"/>
  <c r="AA5" i="40"/>
  <c r="AB89" i="40"/>
  <c r="AB91" i="40" s="1"/>
  <c r="AB92" i="40" s="1"/>
  <c r="Q5" i="40"/>
  <c r="R89" i="40"/>
  <c r="R91" i="40" s="1"/>
  <c r="R92" i="40" s="1"/>
  <c r="AH72" i="40"/>
  <c r="K89" i="40"/>
  <c r="K91" i="40" s="1"/>
  <c r="Q89" i="40"/>
  <c r="Q91" i="40" s="1"/>
  <c r="Q7" i="40" s="1"/>
  <c r="P89" i="40"/>
  <c r="P91" i="40" s="1"/>
  <c r="P92" i="40" s="1"/>
  <c r="O89" i="40"/>
  <c r="O91" i="40" s="1"/>
  <c r="AG249" i="40" s="1"/>
  <c r="N5" i="40"/>
  <c r="M5" i="40"/>
  <c r="N89" i="40"/>
  <c r="N91" i="40" s="1"/>
  <c r="N92" i="40" s="1"/>
  <c r="M89" i="40"/>
  <c r="M91" i="40" s="1"/>
  <c r="M7" i="40" s="1"/>
  <c r="L5" i="40"/>
  <c r="K5" i="40"/>
  <c r="I89" i="40"/>
  <c r="I91" i="40" s="1"/>
  <c r="I7" i="40" s="1"/>
  <c r="G89" i="40"/>
  <c r="G91" i="40" s="1"/>
  <c r="Y249" i="40" s="1"/>
  <c r="F5" i="40"/>
  <c r="L89" i="40"/>
  <c r="L91" i="40" s="1"/>
  <c r="AD249" i="40" s="1"/>
  <c r="J89" i="40"/>
  <c r="J91" i="40" s="1"/>
  <c r="AB249" i="40" s="1"/>
  <c r="H89" i="40"/>
  <c r="H91" i="40" s="1"/>
  <c r="E5" i="40"/>
  <c r="F89" i="40"/>
  <c r="F91" i="40" s="1"/>
  <c r="F7" i="40" s="1"/>
  <c r="D5" i="40"/>
  <c r="E89" i="40"/>
  <c r="E91" i="40" s="1"/>
  <c r="E92" i="40" s="1"/>
  <c r="C5" i="40"/>
  <c r="AI54" i="40"/>
  <c r="B5" i="40"/>
  <c r="D89" i="40"/>
  <c r="D91" i="40" s="1"/>
  <c r="V249" i="40" s="1"/>
  <c r="AI68" i="40"/>
  <c r="C89" i="40"/>
  <c r="C91" i="40" s="1"/>
  <c r="C7" i="40" s="1"/>
  <c r="B89" i="40"/>
  <c r="B91" i="40" s="1"/>
  <c r="AF5" i="40"/>
  <c r="D246" i="40"/>
  <c r="AV249" i="40"/>
  <c r="AD7" i="40"/>
  <c r="AL249" i="40"/>
  <c r="T7" i="40"/>
  <c r="AB7" i="40"/>
  <c r="AA249" i="40"/>
  <c r="I92" i="40"/>
  <c r="Y7" i="40"/>
  <c r="AQ249" i="40"/>
  <c r="AG89" i="40"/>
  <c r="AC92" i="40"/>
  <c r="AC7" i="40"/>
  <c r="AN249" i="40"/>
  <c r="V7" i="40"/>
  <c r="G92" i="40"/>
  <c r="G229" i="40"/>
  <c r="Z7" i="40"/>
  <c r="AR249" i="40"/>
  <c r="AE7" i="40"/>
  <c r="X7" i="40"/>
  <c r="AP249" i="40"/>
  <c r="K7" i="40"/>
  <c r="K92" i="40"/>
  <c r="AC249" i="40"/>
  <c r="S7" i="40"/>
  <c r="AK249" i="40"/>
  <c r="AA7" i="40"/>
  <c r="AS249" i="40"/>
  <c r="J232" i="40"/>
  <c r="K232" i="40" s="1"/>
  <c r="L232" i="40" s="1"/>
  <c r="M232" i="40" s="1"/>
  <c r="N232" i="40" s="1"/>
  <c r="O232" i="40" s="1"/>
  <c r="P232" i="40" s="1"/>
  <c r="F92" i="40"/>
  <c r="AO249" i="40"/>
  <c r="W7" i="40"/>
  <c r="AM249" i="40"/>
  <c r="U7" i="40"/>
  <c r="AE5" i="40"/>
  <c r="E234" i="40"/>
  <c r="H5" i="40"/>
  <c r="P5" i="40"/>
  <c r="X5" i="40"/>
  <c r="AH84" i="40"/>
  <c r="AH50" i="40"/>
  <c r="AH54" i="40"/>
  <c r="AI84" i="40"/>
  <c r="AH68" i="40"/>
  <c r="O5" i="40"/>
  <c r="H100" i="40"/>
  <c r="AH100" i="40" s="1"/>
  <c r="AI50" i="40"/>
  <c r="AI72" i="40"/>
  <c r="W5" i="40"/>
  <c r="E230" i="40"/>
  <c r="B235" i="40"/>
  <c r="AF92" i="40" l="1"/>
  <c r="AF7" i="40"/>
  <c r="O229" i="41"/>
  <c r="N110" i="41"/>
  <c r="M270" i="41"/>
  <c r="O234" i="41"/>
  <c r="AE92" i="40"/>
  <c r="AT249" i="40"/>
  <c r="R7" i="40"/>
  <c r="AJ249" i="40"/>
  <c r="M92" i="40"/>
  <c r="AE249" i="40"/>
  <c r="X249" i="40"/>
  <c r="Q92" i="40"/>
  <c r="AI249" i="40"/>
  <c r="P7" i="40"/>
  <c r="AH249" i="40"/>
  <c r="O7" i="40"/>
  <c r="O92" i="40"/>
  <c r="N7" i="40"/>
  <c r="AF249" i="40"/>
  <c r="L92" i="40"/>
  <c r="L7" i="40"/>
  <c r="J7" i="40"/>
  <c r="J92" i="40"/>
  <c r="C244" i="40"/>
  <c r="AI100" i="40"/>
  <c r="Z249" i="40"/>
  <c r="H7" i="40"/>
  <c r="H92" i="40"/>
  <c r="G7" i="40"/>
  <c r="B244" i="40"/>
  <c r="D92" i="40"/>
  <c r="D7" i="40"/>
  <c r="E7" i="40"/>
  <c r="W249" i="40"/>
  <c r="U249" i="40"/>
  <c r="C92" i="40"/>
  <c r="AH89" i="40"/>
  <c r="AI89" i="40"/>
  <c r="H229" i="40"/>
  <c r="E110" i="40"/>
  <c r="D270" i="40"/>
  <c r="F234" i="40"/>
  <c r="B7" i="40"/>
  <c r="B92" i="40"/>
  <c r="AI91" i="40"/>
  <c r="T249" i="40"/>
  <c r="AH91" i="40"/>
  <c r="E235" i="40"/>
  <c r="F230" i="40"/>
  <c r="N270" i="41" l="1"/>
  <c r="P234" i="41"/>
  <c r="O270" i="41" s="1"/>
  <c r="P229" i="41"/>
  <c r="O110" i="41"/>
  <c r="K6" i="40"/>
  <c r="A7" i="40"/>
  <c r="E270" i="40"/>
  <c r="G234" i="40"/>
  <c r="F110" i="40"/>
  <c r="G230" i="40"/>
  <c r="F235" i="40"/>
  <c r="AI92" i="40"/>
  <c r="AH92" i="40"/>
  <c r="I229" i="40"/>
  <c r="AH110" i="41" l="1"/>
  <c r="AI110" i="41"/>
  <c r="F270" i="40"/>
  <c r="H234" i="40"/>
  <c r="G110" i="40"/>
  <c r="H230" i="40"/>
  <c r="G235" i="40"/>
  <c r="J229" i="40"/>
  <c r="I230" i="40" l="1"/>
  <c r="H235" i="40"/>
  <c r="G270" i="40"/>
  <c r="I234" i="40"/>
  <c r="H110" i="40"/>
  <c r="K229" i="40"/>
  <c r="L229" i="40" l="1"/>
  <c r="J230" i="40"/>
  <c r="H270" i="40"/>
  <c r="J234" i="40"/>
  <c r="I110" i="40"/>
  <c r="K234" i="40" l="1"/>
  <c r="I270" i="40"/>
  <c r="J110" i="40"/>
  <c r="K230" i="40"/>
  <c r="M229" i="40"/>
  <c r="N229" i="40" l="1"/>
  <c r="L230" i="40"/>
  <c r="J270" i="40"/>
  <c r="L234" i="40"/>
  <c r="K110" i="40"/>
  <c r="M234" i="40" l="1"/>
  <c r="K270" i="40"/>
  <c r="L110" i="40"/>
  <c r="M230" i="40"/>
  <c r="O229" i="40"/>
  <c r="P229" i="40" l="1"/>
  <c r="N230" i="40"/>
  <c r="L270" i="40"/>
  <c r="N234" i="40"/>
  <c r="M110" i="40"/>
  <c r="M270" i="40" l="1"/>
  <c r="O234" i="40"/>
  <c r="N110" i="40"/>
  <c r="O230" i="40"/>
  <c r="P230" i="40" l="1"/>
  <c r="N270" i="40"/>
  <c r="P234" i="40"/>
  <c r="O270" i="40" s="1"/>
  <c r="O110" i="40"/>
  <c r="AH110" i="40" l="1"/>
  <c r="AI110" i="40"/>
  <c r="AE49" i="39" l="1"/>
  <c r="AD49" i="39"/>
  <c r="Z49" i="39"/>
  <c r="Z50" i="39"/>
  <c r="Z54" i="39"/>
  <c r="Z68" i="39"/>
  <c r="Z72" i="39"/>
  <c r="Z84" i="39"/>
  <c r="Z100" i="39" s="1"/>
  <c r="Z110" i="39"/>
  <c r="Z89" i="39" l="1"/>
  <c r="Z91" i="39" s="1"/>
  <c r="Z92" i="39" s="1"/>
  <c r="Y49" i="39" l="1"/>
  <c r="Y50" i="39"/>
  <c r="Y54" i="39"/>
  <c r="Y68" i="39"/>
  <c r="Y72" i="39"/>
  <c r="Y84" i="39"/>
  <c r="Y100" i="39" s="1"/>
  <c r="Y110" i="39"/>
  <c r="X49" i="39"/>
  <c r="X50" i="39"/>
  <c r="X54" i="39"/>
  <c r="X68" i="39"/>
  <c r="X72" i="39"/>
  <c r="X84" i="39"/>
  <c r="X100" i="39" s="1"/>
  <c r="X110" i="39"/>
  <c r="W49" i="39"/>
  <c r="W50" i="39"/>
  <c r="W54" i="39"/>
  <c r="W68" i="39"/>
  <c r="W72" i="39"/>
  <c r="W84" i="39"/>
  <c r="W100" i="39" s="1"/>
  <c r="W110" i="39"/>
  <c r="U49" i="39"/>
  <c r="V49" i="39"/>
  <c r="U50" i="39"/>
  <c r="V50" i="39"/>
  <c r="U54" i="39"/>
  <c r="V54" i="39"/>
  <c r="U68" i="39"/>
  <c r="V68" i="39"/>
  <c r="U72" i="39"/>
  <c r="V72" i="39"/>
  <c r="U84" i="39"/>
  <c r="U100" i="39" s="1"/>
  <c r="V84" i="39"/>
  <c r="V100" i="39" s="1"/>
  <c r="U110" i="39"/>
  <c r="V110" i="39"/>
  <c r="T49" i="39"/>
  <c r="T50" i="39"/>
  <c r="T54" i="39"/>
  <c r="T68" i="39"/>
  <c r="T72" i="39"/>
  <c r="T84" i="39"/>
  <c r="T100" i="39" s="1"/>
  <c r="T110" i="39"/>
  <c r="S49" i="39"/>
  <c r="S50" i="39"/>
  <c r="S54" i="39"/>
  <c r="S68" i="39"/>
  <c r="S72" i="39"/>
  <c r="S84" i="39"/>
  <c r="S100" i="39" s="1"/>
  <c r="S110" i="39"/>
  <c r="Y89" i="39" l="1"/>
  <c r="Y91" i="39" s="1"/>
  <c r="Y92" i="39" s="1"/>
  <c r="U89" i="39"/>
  <c r="U91" i="39" s="1"/>
  <c r="U92" i="39" s="1"/>
  <c r="X89" i="39"/>
  <c r="X91" i="39" s="1"/>
  <c r="X92" i="39" s="1"/>
  <c r="W89" i="39"/>
  <c r="W91" i="39" s="1"/>
  <c r="W92" i="39" s="1"/>
  <c r="V89" i="39"/>
  <c r="V91" i="39" s="1"/>
  <c r="V92" i="39" s="1"/>
  <c r="T89" i="39"/>
  <c r="T91" i="39" s="1"/>
  <c r="T92" i="39" s="1"/>
  <c r="S89" i="39"/>
  <c r="S91" i="39" s="1"/>
  <c r="S92" i="39" s="1"/>
  <c r="R49" i="39" l="1"/>
  <c r="Q49" i="39"/>
  <c r="P49" i="39" l="1"/>
  <c r="P50" i="39"/>
  <c r="O49" i="39"/>
  <c r="O50" i="39"/>
  <c r="O54" i="39"/>
  <c r="O68" i="39"/>
  <c r="O72" i="39"/>
  <c r="O84" i="39"/>
  <c r="O100" i="39" s="1"/>
  <c r="O110" i="39"/>
  <c r="N49" i="39"/>
  <c r="O89" i="39" l="1"/>
  <c r="O91" i="39" s="1"/>
  <c r="O92" i="39" s="1"/>
  <c r="M49" i="39" l="1"/>
  <c r="L113" i="39" l="1"/>
  <c r="L49" i="39"/>
  <c r="K49" i="39" l="1"/>
  <c r="J113" i="39"/>
  <c r="J49" i="39"/>
  <c r="I113" i="39"/>
  <c r="I49" i="39"/>
  <c r="H113" i="39"/>
  <c r="H49" i="39"/>
  <c r="G113" i="39"/>
  <c r="G49" i="39"/>
  <c r="F113" i="39"/>
  <c r="F49" i="39"/>
  <c r="E113" i="39"/>
  <c r="AF274" i="39"/>
  <c r="AE274" i="39"/>
  <c r="AD274" i="39"/>
  <c r="AC274" i="39"/>
  <c r="AB274" i="39"/>
  <c r="AA274" i="39"/>
  <c r="Z274" i="39"/>
  <c r="Y274" i="39"/>
  <c r="X274" i="39"/>
  <c r="W274" i="39"/>
  <c r="V274" i="39"/>
  <c r="U274" i="39"/>
  <c r="T274" i="39"/>
  <c r="S274" i="39"/>
  <c r="R274" i="39"/>
  <c r="Q274" i="39"/>
  <c r="P274" i="39"/>
  <c r="O274" i="39"/>
  <c r="N274" i="39"/>
  <c r="M274" i="39"/>
  <c r="L274" i="39"/>
  <c r="K274" i="39"/>
  <c r="J274" i="39"/>
  <c r="I274" i="39"/>
  <c r="H274" i="39"/>
  <c r="G274" i="39"/>
  <c r="F274" i="39"/>
  <c r="E274" i="39"/>
  <c r="D274" i="39"/>
  <c r="C274" i="39"/>
  <c r="B274" i="39"/>
  <c r="A274" i="39"/>
  <c r="AF273" i="39"/>
  <c r="AE273" i="39"/>
  <c r="AD273" i="39"/>
  <c r="AC273" i="39"/>
  <c r="AB273" i="39"/>
  <c r="AA273" i="39"/>
  <c r="Z273" i="39"/>
  <c r="Y273" i="39"/>
  <c r="X273" i="39"/>
  <c r="W273" i="39"/>
  <c r="V273" i="39"/>
  <c r="U273" i="39"/>
  <c r="T273" i="39"/>
  <c r="S273" i="39"/>
  <c r="R273" i="39"/>
  <c r="Q273" i="39"/>
  <c r="P273" i="39"/>
  <c r="O273" i="39"/>
  <c r="N273" i="39"/>
  <c r="M273" i="39"/>
  <c r="L273" i="39"/>
  <c r="K273" i="39"/>
  <c r="J273" i="39"/>
  <c r="I273" i="39"/>
  <c r="H273" i="39"/>
  <c r="G273" i="39"/>
  <c r="F273" i="39"/>
  <c r="E273" i="39"/>
  <c r="D273" i="39"/>
  <c r="C273" i="39"/>
  <c r="B273" i="39"/>
  <c r="A273" i="39"/>
  <c r="AF272" i="39"/>
  <c r="AE272" i="39"/>
  <c r="AD272" i="39"/>
  <c r="AC272" i="39"/>
  <c r="AB272" i="39"/>
  <c r="AA272" i="39"/>
  <c r="Z272" i="39"/>
  <c r="Y272" i="39"/>
  <c r="X272" i="39"/>
  <c r="W272" i="39"/>
  <c r="V272" i="39"/>
  <c r="U272" i="39"/>
  <c r="T272" i="39"/>
  <c r="S272" i="39"/>
  <c r="R272" i="39"/>
  <c r="Q272" i="39"/>
  <c r="P272" i="39"/>
  <c r="O272" i="39"/>
  <c r="N272" i="39"/>
  <c r="M272" i="39"/>
  <c r="L272" i="39"/>
  <c r="K272" i="39"/>
  <c r="J272" i="39"/>
  <c r="I272" i="39"/>
  <c r="H272" i="39"/>
  <c r="G272" i="39"/>
  <c r="F272" i="39"/>
  <c r="E272" i="39"/>
  <c r="D272" i="39"/>
  <c r="C272" i="39"/>
  <c r="B272" i="39"/>
  <c r="A272" i="39"/>
  <c r="AF271" i="39"/>
  <c r="AE271" i="39"/>
  <c r="AD271" i="39"/>
  <c r="AC271" i="39"/>
  <c r="AB271" i="39"/>
  <c r="AA271" i="39"/>
  <c r="Z271" i="39"/>
  <c r="Y271" i="39"/>
  <c r="X271" i="39"/>
  <c r="W271" i="39"/>
  <c r="V271" i="39"/>
  <c r="U271" i="39"/>
  <c r="T271" i="39"/>
  <c r="S271" i="39"/>
  <c r="R271" i="39"/>
  <c r="Q271" i="39"/>
  <c r="P271" i="39"/>
  <c r="O271" i="39"/>
  <c r="N271" i="39"/>
  <c r="M271" i="39"/>
  <c r="L271" i="39"/>
  <c r="K271" i="39"/>
  <c r="J271" i="39"/>
  <c r="I271" i="39"/>
  <c r="H271" i="39"/>
  <c r="G271" i="39"/>
  <c r="F271" i="39"/>
  <c r="E271" i="39"/>
  <c r="D271" i="39"/>
  <c r="C271" i="39"/>
  <c r="B271" i="39"/>
  <c r="A271" i="39"/>
  <c r="AE270" i="39"/>
  <c r="AD270" i="39"/>
  <c r="AC270" i="39"/>
  <c r="AB270" i="39"/>
  <c r="AA270" i="39"/>
  <c r="Z270" i="39"/>
  <c r="Y270" i="39"/>
  <c r="X270" i="39"/>
  <c r="W270" i="39"/>
  <c r="V270" i="39"/>
  <c r="U270" i="39"/>
  <c r="T270" i="39"/>
  <c r="S270" i="39"/>
  <c r="R270" i="39"/>
  <c r="Q270" i="39"/>
  <c r="P270" i="39"/>
  <c r="B270" i="39"/>
  <c r="S245" i="39"/>
  <c r="AG235" i="39"/>
  <c r="AF235" i="39"/>
  <c r="AE235" i="39"/>
  <c r="AD235" i="39"/>
  <c r="AC235" i="39"/>
  <c r="AB235" i="39"/>
  <c r="AA235" i="39"/>
  <c r="Z235" i="39"/>
  <c r="Y235" i="39"/>
  <c r="X235" i="39"/>
  <c r="W235" i="39"/>
  <c r="V235" i="39"/>
  <c r="U235" i="39"/>
  <c r="T235" i="39"/>
  <c r="S235" i="39"/>
  <c r="R235" i="39"/>
  <c r="Q235" i="39"/>
  <c r="C235" i="39"/>
  <c r="D234" i="39"/>
  <c r="C270" i="39" s="1"/>
  <c r="B234" i="39"/>
  <c r="AF270" i="39" s="1"/>
  <c r="E233" i="39"/>
  <c r="F233" i="39" s="1"/>
  <c r="G233" i="39" s="1"/>
  <c r="H233" i="39" s="1"/>
  <c r="I233" i="39" s="1"/>
  <c r="J233" i="39" s="1"/>
  <c r="K233" i="39" s="1"/>
  <c r="L233" i="39" s="1"/>
  <c r="M233" i="39" s="1"/>
  <c r="N233" i="39" s="1"/>
  <c r="O233" i="39" s="1"/>
  <c r="P233" i="39" s="1"/>
  <c r="D233" i="39"/>
  <c r="B233" i="39"/>
  <c r="E232" i="39"/>
  <c r="F232" i="39" s="1"/>
  <c r="G232" i="39" s="1"/>
  <c r="H232" i="39" s="1"/>
  <c r="I232" i="39" s="1"/>
  <c r="D232" i="39"/>
  <c r="B232" i="39"/>
  <c r="F231" i="39"/>
  <c r="G231" i="39" s="1"/>
  <c r="H231" i="39" s="1"/>
  <c r="E231" i="39"/>
  <c r="D231" i="39"/>
  <c r="B231" i="39"/>
  <c r="D230" i="39"/>
  <c r="D235" i="39" s="1"/>
  <c r="B230" i="39"/>
  <c r="E229" i="39"/>
  <c r="F229" i="39" s="1"/>
  <c r="D229" i="39"/>
  <c r="B229" i="39"/>
  <c r="B110" i="39" s="1"/>
  <c r="AG227" i="39"/>
  <c r="AF227" i="39"/>
  <c r="AE227" i="39"/>
  <c r="AD227" i="39"/>
  <c r="AC227" i="39"/>
  <c r="AB227" i="39"/>
  <c r="AA227" i="39"/>
  <c r="Z227" i="39"/>
  <c r="Y227" i="39"/>
  <c r="X227" i="39"/>
  <c r="W227" i="39"/>
  <c r="V227" i="39"/>
  <c r="U227" i="39"/>
  <c r="T227" i="39"/>
  <c r="S227" i="39"/>
  <c r="R227" i="39"/>
  <c r="Q227" i="39"/>
  <c r="P227" i="39"/>
  <c r="O227" i="39"/>
  <c r="N227" i="39"/>
  <c r="M227" i="39"/>
  <c r="L227" i="39"/>
  <c r="K227" i="39"/>
  <c r="J227" i="39"/>
  <c r="I227" i="39"/>
  <c r="H227" i="39"/>
  <c r="G227" i="39"/>
  <c r="F227" i="39"/>
  <c r="E227" i="39"/>
  <c r="D227" i="39"/>
  <c r="C227" i="39"/>
  <c r="B227" i="39"/>
  <c r="AI120" i="39"/>
  <c r="AH120" i="39"/>
  <c r="AI119" i="39"/>
  <c r="AH119" i="39"/>
  <c r="AI118" i="39"/>
  <c r="AH118" i="39"/>
  <c r="AI117" i="39"/>
  <c r="AH117" i="39"/>
  <c r="AI116" i="39"/>
  <c r="AH116" i="39"/>
  <c r="AI115" i="39"/>
  <c r="AH115" i="39"/>
  <c r="AI114" i="39"/>
  <c r="AH114" i="39"/>
  <c r="AI113" i="39"/>
  <c r="AH113" i="39"/>
  <c r="AI112" i="39"/>
  <c r="AH112" i="39"/>
  <c r="AI111" i="39"/>
  <c r="AH111" i="39"/>
  <c r="AF110" i="39"/>
  <c r="AE110" i="39"/>
  <c r="AC110" i="39"/>
  <c r="AB110" i="39"/>
  <c r="R110" i="39"/>
  <c r="Q110" i="39"/>
  <c r="D110" i="39"/>
  <c r="C110" i="39"/>
  <c r="AI109" i="39"/>
  <c r="AH109" i="39"/>
  <c r="AI108" i="39"/>
  <c r="AH108" i="39"/>
  <c r="AI107" i="39"/>
  <c r="AH107" i="39"/>
  <c r="AI106" i="39"/>
  <c r="AH106" i="39"/>
  <c r="AI105" i="39"/>
  <c r="AH105" i="39"/>
  <c r="AI104" i="39"/>
  <c r="AH104" i="39"/>
  <c r="AI103" i="39"/>
  <c r="AH103" i="39"/>
  <c r="AI102" i="39"/>
  <c r="AH102" i="39"/>
  <c r="AI101" i="39"/>
  <c r="AH101" i="39"/>
  <c r="AI99" i="39"/>
  <c r="AH99" i="39"/>
  <c r="AI98" i="39"/>
  <c r="AH98" i="39"/>
  <c r="AI97" i="39"/>
  <c r="AH97" i="39"/>
  <c r="AI96" i="39"/>
  <c r="AH96" i="39"/>
  <c r="AI95" i="39"/>
  <c r="AH95" i="39"/>
  <c r="AI94" i="39"/>
  <c r="AH94" i="39"/>
  <c r="AI93" i="39"/>
  <c r="AH93" i="39"/>
  <c r="AI90" i="39"/>
  <c r="AH90" i="39"/>
  <c r="AI88" i="39"/>
  <c r="AH88" i="39"/>
  <c r="AG88" i="39"/>
  <c r="AI87" i="39"/>
  <c r="AH87" i="39"/>
  <c r="AI86" i="39"/>
  <c r="AH86" i="39"/>
  <c r="AI85" i="39"/>
  <c r="AH85" i="39"/>
  <c r="AN84" i="39"/>
  <c r="AG84" i="39"/>
  <c r="AF100" i="39"/>
  <c r="AE84" i="39"/>
  <c r="AD5" i="39" s="1"/>
  <c r="AD84" i="39"/>
  <c r="AD100" i="39" s="1"/>
  <c r="AC84" i="39"/>
  <c r="AC100" i="39" s="1"/>
  <c r="AB84" i="39"/>
  <c r="AB100" i="39" s="1"/>
  <c r="W5" i="39"/>
  <c r="R84" i="39"/>
  <c r="R100" i="39" s="1"/>
  <c r="Q84" i="39"/>
  <c r="Q100" i="39" s="1"/>
  <c r="P84" i="39"/>
  <c r="P100" i="39" s="1"/>
  <c r="N84" i="39"/>
  <c r="N100" i="39" s="1"/>
  <c r="M84" i="39"/>
  <c r="M100" i="39" s="1"/>
  <c r="L84" i="39"/>
  <c r="L100" i="39" s="1"/>
  <c r="K84" i="39"/>
  <c r="K100" i="39" s="1"/>
  <c r="J84" i="39"/>
  <c r="J100" i="39" s="1"/>
  <c r="I84" i="39"/>
  <c r="I100" i="39" s="1"/>
  <c r="H84" i="39"/>
  <c r="G5" i="39" s="1"/>
  <c r="G84" i="39"/>
  <c r="F5" i="39" s="1"/>
  <c r="F84" i="39"/>
  <c r="F100" i="39" s="1"/>
  <c r="E84" i="39"/>
  <c r="E100" i="39" s="1"/>
  <c r="D84" i="39"/>
  <c r="D100" i="39" s="1"/>
  <c r="C84" i="39"/>
  <c r="C100" i="39" s="1"/>
  <c r="B84" i="39"/>
  <c r="B100" i="39" s="1"/>
  <c r="AN83" i="39"/>
  <c r="AI83" i="39"/>
  <c r="AH83" i="39"/>
  <c r="AN82" i="39"/>
  <c r="AI82" i="39"/>
  <c r="AH82" i="39"/>
  <c r="AN81" i="39"/>
  <c r="AI81" i="39"/>
  <c r="AH81" i="39"/>
  <c r="AI80" i="39"/>
  <c r="AH80" i="39"/>
  <c r="AI79" i="39"/>
  <c r="AH79" i="39"/>
  <c r="AI78" i="39"/>
  <c r="AH78" i="39"/>
  <c r="AI77" i="39"/>
  <c r="AH77" i="39"/>
  <c r="AI76" i="39"/>
  <c r="AH76" i="39"/>
  <c r="AI75" i="39"/>
  <c r="AH75" i="39"/>
  <c r="AI74" i="39"/>
  <c r="AH74" i="39"/>
  <c r="AI73" i="39"/>
  <c r="AH73" i="39"/>
  <c r="AG72" i="39"/>
  <c r="AF72" i="39"/>
  <c r="AE72" i="39"/>
  <c r="AD72" i="39"/>
  <c r="AC72" i="39"/>
  <c r="AB72" i="39"/>
  <c r="R72" i="39"/>
  <c r="Q72" i="39"/>
  <c r="P72" i="39"/>
  <c r="N72" i="39"/>
  <c r="M72" i="39"/>
  <c r="L72" i="39"/>
  <c r="B72" i="39"/>
  <c r="AI71" i="39"/>
  <c r="AH71" i="39"/>
  <c r="AI70" i="39"/>
  <c r="AH70" i="39"/>
  <c r="AI69" i="39"/>
  <c r="AH69" i="39"/>
  <c r="AF68" i="39"/>
  <c r="AE68" i="39"/>
  <c r="AD68" i="39"/>
  <c r="AC68" i="39"/>
  <c r="AB68" i="39"/>
  <c r="R68" i="39"/>
  <c r="Q68" i="39"/>
  <c r="P68" i="39"/>
  <c r="N68" i="39"/>
  <c r="M68" i="39"/>
  <c r="L68" i="39"/>
  <c r="K68" i="39"/>
  <c r="J68" i="39"/>
  <c r="I68" i="39"/>
  <c r="H68" i="39"/>
  <c r="G68" i="39"/>
  <c r="F68" i="39"/>
  <c r="E68" i="39"/>
  <c r="D68" i="39"/>
  <c r="C68" i="39"/>
  <c r="B68" i="39"/>
  <c r="AI67" i="39"/>
  <c r="AH67" i="39"/>
  <c r="AG67" i="39"/>
  <c r="AG68" i="39" s="1"/>
  <c r="AG3" i="39" s="1"/>
  <c r="AG6" i="39" s="1"/>
  <c r="AI66" i="39"/>
  <c r="AH66" i="39"/>
  <c r="AI65" i="39"/>
  <c r="AH65" i="39"/>
  <c r="AI64" i="39"/>
  <c r="AH64" i="39"/>
  <c r="AI63" i="39"/>
  <c r="AH63" i="39"/>
  <c r="AI62" i="39"/>
  <c r="AH62" i="39"/>
  <c r="AI61" i="39"/>
  <c r="AH61" i="39"/>
  <c r="AI60" i="39"/>
  <c r="AH60" i="39"/>
  <c r="AI59" i="39"/>
  <c r="AH59" i="39"/>
  <c r="AI58" i="39"/>
  <c r="AH58" i="39"/>
  <c r="AI57" i="39"/>
  <c r="AH57" i="39"/>
  <c r="AI56" i="39"/>
  <c r="AH56" i="39"/>
  <c r="AI55" i="39"/>
  <c r="AH55" i="39"/>
  <c r="AG54" i="39"/>
  <c r="AF54" i="39"/>
  <c r="AE54" i="39"/>
  <c r="AD54" i="39"/>
  <c r="AC54" i="39"/>
  <c r="AB54" i="39"/>
  <c r="R54" i="39"/>
  <c r="Q54" i="39"/>
  <c r="P54" i="39"/>
  <c r="N54" i="39"/>
  <c r="M54" i="39"/>
  <c r="L54" i="39"/>
  <c r="K54" i="39"/>
  <c r="J54" i="39"/>
  <c r="I54" i="39"/>
  <c r="H54" i="39"/>
  <c r="G54" i="39"/>
  <c r="F54" i="39"/>
  <c r="E54" i="39"/>
  <c r="D54" i="39"/>
  <c r="C54" i="39"/>
  <c r="B54" i="39"/>
  <c r="AI53" i="39"/>
  <c r="AH53" i="39"/>
  <c r="AI52" i="39"/>
  <c r="AH52" i="39"/>
  <c r="AI51" i="39"/>
  <c r="AH51" i="39"/>
  <c r="AG50" i="39"/>
  <c r="AG89" i="39" s="1"/>
  <c r="AF50" i="39"/>
  <c r="AE50" i="39"/>
  <c r="AD50" i="39"/>
  <c r="AC50" i="39"/>
  <c r="AB50" i="39"/>
  <c r="R50" i="39"/>
  <c r="Q50" i="39"/>
  <c r="N50" i="39"/>
  <c r="M50" i="39"/>
  <c r="L50" i="39"/>
  <c r="K50" i="39"/>
  <c r="J50" i="39"/>
  <c r="I50" i="39"/>
  <c r="H50" i="39"/>
  <c r="G50" i="39"/>
  <c r="F50" i="39"/>
  <c r="E50" i="39"/>
  <c r="D50" i="39"/>
  <c r="C50" i="39"/>
  <c r="B50" i="39"/>
  <c r="AI49" i="39"/>
  <c r="AH49" i="39"/>
  <c r="AI48" i="39"/>
  <c r="AH48" i="39"/>
  <c r="AI47" i="39"/>
  <c r="AH47" i="39"/>
  <c r="AI46" i="39"/>
  <c r="AH46" i="39"/>
  <c r="AI45" i="39"/>
  <c r="AH45" i="39"/>
  <c r="AI44" i="39"/>
  <c r="AH44" i="39"/>
  <c r="AI43" i="39"/>
  <c r="AH43" i="39"/>
  <c r="AI42" i="39"/>
  <c r="AH42" i="39"/>
  <c r="AI41" i="39"/>
  <c r="AH41" i="39"/>
  <c r="AI40" i="39"/>
  <c r="AH40" i="39"/>
  <c r="AI39" i="39"/>
  <c r="AH39" i="39"/>
  <c r="AI38" i="39"/>
  <c r="AH38" i="39"/>
  <c r="AI37" i="39"/>
  <c r="AH37" i="39"/>
  <c r="AI36" i="39"/>
  <c r="AH36" i="39"/>
  <c r="AI35" i="39"/>
  <c r="AH35" i="39"/>
  <c r="AI34" i="39"/>
  <c r="AH34" i="39"/>
  <c r="AI33" i="39"/>
  <c r="AH33" i="39"/>
  <c r="AI32" i="39"/>
  <c r="AH32" i="39"/>
  <c r="AI31" i="39"/>
  <c r="AH31" i="39"/>
  <c r="AI30" i="39"/>
  <c r="AH30" i="39"/>
  <c r="AI29" i="39"/>
  <c r="AH29" i="39"/>
  <c r="AI28" i="39"/>
  <c r="AH28" i="39"/>
  <c r="AI27" i="39"/>
  <c r="AH27" i="39"/>
  <c r="AI26" i="39"/>
  <c r="AH26" i="39"/>
  <c r="AI25" i="39"/>
  <c r="AH25" i="39"/>
  <c r="AI24" i="39"/>
  <c r="AH24" i="39"/>
  <c r="AI23" i="39"/>
  <c r="AH23" i="39"/>
  <c r="AI22" i="39"/>
  <c r="AH22" i="39"/>
  <c r="AI21" i="39"/>
  <c r="AH21" i="39"/>
  <c r="AI20" i="39"/>
  <c r="AH20" i="39"/>
  <c r="AI19" i="39"/>
  <c r="AH19" i="39"/>
  <c r="AI18" i="39"/>
  <c r="AH18" i="39"/>
  <c r="AI17" i="39"/>
  <c r="AH17" i="39"/>
  <c r="AI16" i="39"/>
  <c r="AH16" i="39"/>
  <c r="AI15" i="39"/>
  <c r="AH15" i="39"/>
  <c r="AI14" i="39"/>
  <c r="AH14" i="39"/>
  <c r="AI13" i="39"/>
  <c r="AH13" i="39"/>
  <c r="AI12" i="39"/>
  <c r="AH12" i="39"/>
  <c r="AI11" i="39"/>
  <c r="AH11" i="39"/>
  <c r="Z5" i="39"/>
  <c r="Y5" i="39"/>
  <c r="V5" i="39"/>
  <c r="U5" i="39"/>
  <c r="T5" i="39"/>
  <c r="S5" i="39"/>
  <c r="R5" i="39"/>
  <c r="N5" i="39"/>
  <c r="AG4" i="39"/>
  <c r="K4" i="39"/>
  <c r="E4" i="39"/>
  <c r="H4" i="39" s="1"/>
  <c r="B4" i="39"/>
  <c r="S246" i="39" s="1"/>
  <c r="AG2" i="39"/>
  <c r="AD49" i="38"/>
  <c r="AF89" i="39" l="1"/>
  <c r="AF91" i="39" s="1"/>
  <c r="AF92" i="39" s="1"/>
  <c r="AE100" i="39"/>
  <c r="AE89" i="39"/>
  <c r="AE91" i="39" s="1"/>
  <c r="AW249" i="39" s="1"/>
  <c r="AC5" i="39"/>
  <c r="AD89" i="39"/>
  <c r="AD91" i="39" s="1"/>
  <c r="AV249" i="39" s="1"/>
  <c r="AB5" i="39"/>
  <c r="AC89" i="39"/>
  <c r="AC91" i="39" s="1"/>
  <c r="AU249" i="39" s="1"/>
  <c r="AA5" i="39"/>
  <c r="AH72" i="39"/>
  <c r="AB89" i="39"/>
  <c r="AB91" i="39" s="1"/>
  <c r="AB92" i="39" s="1"/>
  <c r="Q5" i="39"/>
  <c r="R89" i="39"/>
  <c r="R91" i="39" s="1"/>
  <c r="R92" i="39" s="1"/>
  <c r="Q89" i="39"/>
  <c r="Q91" i="39" s="1"/>
  <c r="Q92" i="39" s="1"/>
  <c r="P89" i="39"/>
  <c r="P91" i="39" s="1"/>
  <c r="P7" i="39" s="1"/>
  <c r="M5" i="39"/>
  <c r="N89" i="39"/>
  <c r="N91" i="39" s="1"/>
  <c r="AF249" i="39" s="1"/>
  <c r="L5" i="39"/>
  <c r="M89" i="39"/>
  <c r="M91" i="39" s="1"/>
  <c r="M92" i="39" s="1"/>
  <c r="K5" i="39"/>
  <c r="L89" i="39"/>
  <c r="L91" i="39" s="1"/>
  <c r="L92" i="39" s="1"/>
  <c r="J5" i="39"/>
  <c r="K89" i="39"/>
  <c r="K91" i="39" s="1"/>
  <c r="I5" i="39"/>
  <c r="J89" i="39"/>
  <c r="J91" i="39" s="1"/>
  <c r="I89" i="39"/>
  <c r="I91" i="39" s="1"/>
  <c r="H89" i="39"/>
  <c r="H91" i="39" s="1"/>
  <c r="G89" i="39"/>
  <c r="G91" i="39" s="1"/>
  <c r="Y249" i="39" s="1"/>
  <c r="G100" i="39"/>
  <c r="E5" i="39"/>
  <c r="F89" i="39"/>
  <c r="F91" i="39" s="1"/>
  <c r="X249" i="39" s="1"/>
  <c r="D5" i="39"/>
  <c r="E89" i="39"/>
  <c r="E91" i="39" s="1"/>
  <c r="E92" i="39" s="1"/>
  <c r="D89" i="39"/>
  <c r="D91" i="39" s="1"/>
  <c r="D7" i="39" s="1"/>
  <c r="C5" i="39"/>
  <c r="AI68" i="39"/>
  <c r="AI54" i="39"/>
  <c r="C89" i="39"/>
  <c r="C91" i="39" s="1"/>
  <c r="C7" i="39" s="1"/>
  <c r="B5" i="39"/>
  <c r="AF5" i="39"/>
  <c r="B89" i="39"/>
  <c r="B91" i="39" s="1"/>
  <c r="AH68" i="39"/>
  <c r="D246" i="39"/>
  <c r="L7" i="39"/>
  <c r="AN249" i="39"/>
  <c r="V7" i="39"/>
  <c r="G7" i="39"/>
  <c r="AG249" i="39"/>
  <c r="O7" i="39"/>
  <c r="AO249" i="39"/>
  <c r="W7" i="39"/>
  <c r="T7" i="39"/>
  <c r="AL249" i="39"/>
  <c r="H7" i="39"/>
  <c r="H92" i="39"/>
  <c r="Z249" i="39"/>
  <c r="AH249" i="39"/>
  <c r="AP249" i="39"/>
  <c r="X7" i="39"/>
  <c r="AG91" i="39"/>
  <c r="U7" i="39"/>
  <c r="AM249" i="39"/>
  <c r="G229" i="39"/>
  <c r="I7" i="39"/>
  <c r="I92" i="39"/>
  <c r="AA249" i="39"/>
  <c r="J232" i="39"/>
  <c r="K232" i="39" s="1"/>
  <c r="L232" i="39" s="1"/>
  <c r="M232" i="39" s="1"/>
  <c r="N232" i="39" s="1"/>
  <c r="O232" i="39" s="1"/>
  <c r="P232" i="39" s="1"/>
  <c r="Y7" i="39"/>
  <c r="AQ249" i="39"/>
  <c r="J7" i="39"/>
  <c r="J92" i="39"/>
  <c r="AB249" i="39"/>
  <c r="R7" i="39"/>
  <c r="Z7" i="39"/>
  <c r="AR249" i="39"/>
  <c r="K7" i="39"/>
  <c r="K92" i="39"/>
  <c r="AC249" i="39"/>
  <c r="S7" i="39"/>
  <c r="AK249" i="39"/>
  <c r="AA7" i="39"/>
  <c r="AS249" i="39"/>
  <c r="AI72" i="39"/>
  <c r="O5" i="39"/>
  <c r="AE5" i="39"/>
  <c r="H100" i="39"/>
  <c r="AH100" i="39" s="1"/>
  <c r="E230" i="39"/>
  <c r="E234" i="39"/>
  <c r="H5" i="39"/>
  <c r="P5" i="39"/>
  <c r="X5" i="39"/>
  <c r="AH84" i="39"/>
  <c r="AH50" i="39"/>
  <c r="AH54" i="39"/>
  <c r="AI84" i="39"/>
  <c r="AI50" i="39"/>
  <c r="B235" i="39"/>
  <c r="AX249" i="39" l="1"/>
  <c r="AF7" i="39"/>
  <c r="AE7" i="39"/>
  <c r="AE92" i="39"/>
  <c r="AD92" i="39"/>
  <c r="AD7" i="39"/>
  <c r="AC92" i="39"/>
  <c r="AC7" i="39"/>
  <c r="AB7" i="39"/>
  <c r="AT249" i="39"/>
  <c r="AJ249" i="39"/>
  <c r="Q7" i="39"/>
  <c r="AI249" i="39"/>
  <c r="P92" i="39"/>
  <c r="N92" i="39"/>
  <c r="N7" i="39"/>
  <c r="M7" i="39"/>
  <c r="AE249" i="39"/>
  <c r="AD249" i="39"/>
  <c r="C92" i="39"/>
  <c r="G92" i="39"/>
  <c r="V249" i="39"/>
  <c r="U249" i="39"/>
  <c r="D92" i="39"/>
  <c r="C244" i="39"/>
  <c r="K6" i="39" s="1"/>
  <c r="B244" i="39"/>
  <c r="AI100" i="39"/>
  <c r="F92" i="39"/>
  <c r="F7" i="39"/>
  <c r="W249" i="39"/>
  <c r="E7" i="39"/>
  <c r="AH89" i="39"/>
  <c r="AI89" i="39"/>
  <c r="E110" i="39"/>
  <c r="D270" i="39"/>
  <c r="F234" i="39"/>
  <c r="H229" i="39"/>
  <c r="F230" i="39"/>
  <c r="E235" i="39"/>
  <c r="B7" i="39"/>
  <c r="B92" i="39"/>
  <c r="AI91" i="39"/>
  <c r="T249" i="39"/>
  <c r="AH91" i="39"/>
  <c r="A7" i="39" l="1"/>
  <c r="G230" i="39"/>
  <c r="F235" i="39"/>
  <c r="I229" i="39"/>
  <c r="E270" i="39"/>
  <c r="G234" i="39"/>
  <c r="F110" i="39"/>
  <c r="AI92" i="39"/>
  <c r="AH92" i="39"/>
  <c r="F270" i="39" l="1"/>
  <c r="H234" i="39"/>
  <c r="G110" i="39"/>
  <c r="J229" i="39"/>
  <c r="H230" i="39"/>
  <c r="G235" i="39"/>
  <c r="K229" i="39" l="1"/>
  <c r="G270" i="39"/>
  <c r="I234" i="39"/>
  <c r="H110" i="39"/>
  <c r="I230" i="39"/>
  <c r="H235" i="39"/>
  <c r="H270" i="39" l="1"/>
  <c r="J234" i="39"/>
  <c r="I110" i="39"/>
  <c r="L229" i="39"/>
  <c r="J230" i="39"/>
  <c r="AC49" i="38"/>
  <c r="AB113" i="38"/>
  <c r="AB49" i="38"/>
  <c r="Z49" i="38"/>
  <c r="M229" i="39" l="1"/>
  <c r="K234" i="39"/>
  <c r="I270" i="39"/>
  <c r="J110" i="39"/>
  <c r="K230" i="39"/>
  <c r="Y49" i="38"/>
  <c r="X49" i="38"/>
  <c r="W49" i="38"/>
  <c r="V49" i="38"/>
  <c r="U49" i="38"/>
  <c r="T49" i="38"/>
  <c r="S49" i="38"/>
  <c r="R49" i="38"/>
  <c r="Q49" i="38"/>
  <c r="L230" i="39" l="1"/>
  <c r="J270" i="39"/>
  <c r="L234" i="39"/>
  <c r="K110" i="39"/>
  <c r="N229" i="39"/>
  <c r="P49" i="38"/>
  <c r="O49" i="38"/>
  <c r="N49" i="38"/>
  <c r="O229" i="39" l="1"/>
  <c r="K270" i="39"/>
  <c r="M234" i="39"/>
  <c r="L110" i="39"/>
  <c r="M230" i="39"/>
  <c r="M49" i="38"/>
  <c r="L113" i="38"/>
  <c r="L49" i="38"/>
  <c r="K113" i="38"/>
  <c r="K49" i="38"/>
  <c r="J113" i="38"/>
  <c r="J49" i="38"/>
  <c r="I113" i="38"/>
  <c r="I49" i="38"/>
  <c r="H49" i="38"/>
  <c r="G113" i="38"/>
  <c r="G49" i="38"/>
  <c r="F113" i="38"/>
  <c r="F49" i="38"/>
  <c r="E113" i="38"/>
  <c r="E49" i="38"/>
  <c r="D113" i="38"/>
  <c r="D49" i="38"/>
  <c r="D50" i="38"/>
  <c r="D54" i="38"/>
  <c r="D68" i="38"/>
  <c r="D72" i="38"/>
  <c r="C49" i="38"/>
  <c r="C50" i="38"/>
  <c r="C54" i="38"/>
  <c r="C68" i="38"/>
  <c r="C72" i="38"/>
  <c r="N230" i="39" l="1"/>
  <c r="L270" i="39"/>
  <c r="N234" i="39"/>
  <c r="M110" i="39"/>
  <c r="P229" i="39"/>
  <c r="B113" i="38"/>
  <c r="B49" i="38"/>
  <c r="B110" i="38"/>
  <c r="B84" i="38"/>
  <c r="B100" i="38" s="1"/>
  <c r="B72" i="38"/>
  <c r="B68" i="38"/>
  <c r="B54" i="38"/>
  <c r="B50" i="38"/>
  <c r="AF274" i="38"/>
  <c r="AE274" i="38"/>
  <c r="AD274" i="38"/>
  <c r="AC274" i="38"/>
  <c r="AB274" i="38"/>
  <c r="AA274" i="38"/>
  <c r="Z274" i="38"/>
  <c r="Y274" i="38"/>
  <c r="X274" i="38"/>
  <c r="W274" i="38"/>
  <c r="V274" i="38"/>
  <c r="U274" i="38"/>
  <c r="T274" i="38"/>
  <c r="S274" i="38"/>
  <c r="R274" i="38"/>
  <c r="Q274" i="38"/>
  <c r="P274" i="38"/>
  <c r="O274" i="38"/>
  <c r="N274" i="38"/>
  <c r="M274" i="38"/>
  <c r="L274" i="38"/>
  <c r="K274" i="38"/>
  <c r="J274" i="38"/>
  <c r="I274" i="38"/>
  <c r="H274" i="38"/>
  <c r="G274" i="38"/>
  <c r="F274" i="38"/>
  <c r="E274" i="38"/>
  <c r="D274" i="38"/>
  <c r="C274" i="38"/>
  <c r="B274" i="38"/>
  <c r="A274" i="38"/>
  <c r="AF273" i="38"/>
  <c r="AE273" i="38"/>
  <c r="AD273" i="38"/>
  <c r="AC273" i="38"/>
  <c r="AB273" i="38"/>
  <c r="AA273" i="38"/>
  <c r="Z273" i="38"/>
  <c r="Y273" i="38"/>
  <c r="X273" i="38"/>
  <c r="W273" i="38"/>
  <c r="V273" i="38"/>
  <c r="U273" i="38"/>
  <c r="T273" i="38"/>
  <c r="S273" i="38"/>
  <c r="R273" i="38"/>
  <c r="Q273" i="38"/>
  <c r="P273" i="38"/>
  <c r="O273" i="38"/>
  <c r="N273" i="38"/>
  <c r="M273" i="38"/>
  <c r="L273" i="38"/>
  <c r="K273" i="38"/>
  <c r="J273" i="38"/>
  <c r="I273" i="38"/>
  <c r="H273" i="38"/>
  <c r="G273" i="38"/>
  <c r="F273" i="38"/>
  <c r="E273" i="38"/>
  <c r="D273" i="38"/>
  <c r="C273" i="38"/>
  <c r="B273" i="38"/>
  <c r="A273" i="38"/>
  <c r="AF272" i="38"/>
  <c r="AE272" i="38"/>
  <c r="AD272" i="38"/>
  <c r="AC272" i="38"/>
  <c r="AB272" i="38"/>
  <c r="AA272" i="38"/>
  <c r="Z272" i="38"/>
  <c r="Y272" i="38"/>
  <c r="X272" i="38"/>
  <c r="W272" i="38"/>
  <c r="V272" i="38"/>
  <c r="U272" i="38"/>
  <c r="T272" i="38"/>
  <c r="S272" i="38"/>
  <c r="R272" i="38"/>
  <c r="Q272" i="38"/>
  <c r="P272" i="38"/>
  <c r="O272" i="38"/>
  <c r="N272" i="38"/>
  <c r="M272" i="38"/>
  <c r="L272" i="38"/>
  <c r="K272" i="38"/>
  <c r="J272" i="38"/>
  <c r="I272" i="38"/>
  <c r="H272" i="38"/>
  <c r="G272" i="38"/>
  <c r="F272" i="38"/>
  <c r="E272" i="38"/>
  <c r="D272" i="38"/>
  <c r="C272" i="38"/>
  <c r="B272" i="38"/>
  <c r="A272" i="38"/>
  <c r="AF271" i="38"/>
  <c r="AE271" i="38"/>
  <c r="AD271" i="38"/>
  <c r="AC271" i="38"/>
  <c r="AB271" i="38"/>
  <c r="AA271" i="38"/>
  <c r="Z271" i="38"/>
  <c r="Y271" i="38"/>
  <c r="X271" i="38"/>
  <c r="W271" i="38"/>
  <c r="V271" i="38"/>
  <c r="U271" i="38"/>
  <c r="T271" i="38"/>
  <c r="S271" i="38"/>
  <c r="R271" i="38"/>
  <c r="Q271" i="38"/>
  <c r="P271" i="38"/>
  <c r="O271" i="38"/>
  <c r="N271" i="38"/>
  <c r="M271" i="38"/>
  <c r="L271" i="38"/>
  <c r="K271" i="38"/>
  <c r="J271" i="38"/>
  <c r="I271" i="38"/>
  <c r="H271" i="38"/>
  <c r="G271" i="38"/>
  <c r="F271" i="38"/>
  <c r="E271" i="38"/>
  <c r="D271" i="38"/>
  <c r="C271" i="38"/>
  <c r="B271" i="38"/>
  <c r="A271" i="38"/>
  <c r="AE270" i="38"/>
  <c r="AD270" i="38"/>
  <c r="AC270" i="38"/>
  <c r="AB270" i="38"/>
  <c r="AA270" i="38"/>
  <c r="Z270" i="38"/>
  <c r="Y270" i="38"/>
  <c r="X270" i="38"/>
  <c r="W270" i="38"/>
  <c r="V270" i="38"/>
  <c r="U270" i="38"/>
  <c r="T270" i="38"/>
  <c r="S270" i="38"/>
  <c r="R270" i="38"/>
  <c r="Q270" i="38"/>
  <c r="P270" i="38"/>
  <c r="C270" i="38"/>
  <c r="B270" i="38"/>
  <c r="S245" i="38"/>
  <c r="AG235" i="38"/>
  <c r="AF235" i="38"/>
  <c r="AE235" i="38"/>
  <c r="AD235" i="38"/>
  <c r="AC235" i="38"/>
  <c r="AB235" i="38"/>
  <c r="AA235" i="38"/>
  <c r="Z235" i="38"/>
  <c r="Y235" i="38"/>
  <c r="X235" i="38"/>
  <c r="W235" i="38"/>
  <c r="V235" i="38"/>
  <c r="U235" i="38"/>
  <c r="T235" i="38"/>
  <c r="S235" i="38"/>
  <c r="R235" i="38"/>
  <c r="Q235" i="38"/>
  <c r="C235" i="38"/>
  <c r="D234" i="38"/>
  <c r="E234" i="38" s="1"/>
  <c r="B234" i="38"/>
  <c r="AF270" i="38" s="1"/>
  <c r="D233" i="38"/>
  <c r="E233" i="38" s="1"/>
  <c r="F233" i="38" s="1"/>
  <c r="G233" i="38" s="1"/>
  <c r="H233" i="38" s="1"/>
  <c r="I233" i="38" s="1"/>
  <c r="J233" i="38" s="1"/>
  <c r="K233" i="38" s="1"/>
  <c r="L233" i="38" s="1"/>
  <c r="M233" i="38" s="1"/>
  <c r="N233" i="38" s="1"/>
  <c r="O233" i="38" s="1"/>
  <c r="P233" i="38" s="1"/>
  <c r="B233" i="38"/>
  <c r="D232" i="38"/>
  <c r="E232" i="38" s="1"/>
  <c r="F232" i="38" s="1"/>
  <c r="G232" i="38" s="1"/>
  <c r="H232" i="38" s="1"/>
  <c r="I232" i="38" s="1"/>
  <c r="B232" i="38"/>
  <c r="F231" i="38"/>
  <c r="G231" i="38" s="1"/>
  <c r="H231" i="38" s="1"/>
  <c r="E231" i="38"/>
  <c r="D231" i="38"/>
  <c r="B231" i="38"/>
  <c r="D230" i="38"/>
  <c r="E230" i="38" s="1"/>
  <c r="F230" i="38" s="1"/>
  <c r="G230" i="38" s="1"/>
  <c r="H230" i="38" s="1"/>
  <c r="I230" i="38" s="1"/>
  <c r="J230" i="38" s="1"/>
  <c r="K230" i="38" s="1"/>
  <c r="L230" i="38" s="1"/>
  <c r="M230" i="38" s="1"/>
  <c r="N230" i="38" s="1"/>
  <c r="O230" i="38" s="1"/>
  <c r="P230" i="38" s="1"/>
  <c r="B230" i="38"/>
  <c r="D229" i="38"/>
  <c r="B229" i="38"/>
  <c r="B235" i="38" s="1"/>
  <c r="AG227" i="38"/>
  <c r="AF227" i="38"/>
  <c r="AE227" i="38"/>
  <c r="AD227" i="38"/>
  <c r="AC227" i="38"/>
  <c r="AB227" i="38"/>
  <c r="AA227" i="38"/>
  <c r="Z227" i="38"/>
  <c r="Y227" i="38"/>
  <c r="X227" i="38"/>
  <c r="W227" i="38"/>
  <c r="V227" i="38"/>
  <c r="U227" i="38"/>
  <c r="T227" i="38"/>
  <c r="S227" i="38"/>
  <c r="R227" i="38"/>
  <c r="Q227" i="38"/>
  <c r="P227" i="38"/>
  <c r="O227" i="38"/>
  <c r="N227" i="38"/>
  <c r="M227" i="38"/>
  <c r="L227" i="38"/>
  <c r="K227" i="38"/>
  <c r="J227" i="38"/>
  <c r="I227" i="38"/>
  <c r="H227" i="38"/>
  <c r="G227" i="38"/>
  <c r="F227" i="38"/>
  <c r="E227" i="38"/>
  <c r="D227" i="38"/>
  <c r="C227" i="38"/>
  <c r="B227" i="38"/>
  <c r="AI120" i="38"/>
  <c r="AH120" i="38"/>
  <c r="AI119" i="38"/>
  <c r="AH119" i="38"/>
  <c r="AI118" i="38"/>
  <c r="AH118" i="38"/>
  <c r="AI117" i="38"/>
  <c r="AH117" i="38"/>
  <c r="AI116" i="38"/>
  <c r="AH116" i="38"/>
  <c r="AI115" i="38"/>
  <c r="AH115" i="38"/>
  <c r="AI114" i="38"/>
  <c r="AH114" i="38"/>
  <c r="AI113" i="38"/>
  <c r="AH113" i="38"/>
  <c r="AI112" i="38"/>
  <c r="AH112" i="38"/>
  <c r="AI111" i="38"/>
  <c r="AH111" i="38"/>
  <c r="AF110" i="38"/>
  <c r="AE110" i="38"/>
  <c r="AC110" i="38"/>
  <c r="AB110" i="38"/>
  <c r="AA110" i="38"/>
  <c r="Z110" i="38"/>
  <c r="Y110" i="38"/>
  <c r="X110" i="38"/>
  <c r="W110" i="38"/>
  <c r="V110" i="38"/>
  <c r="U110" i="38"/>
  <c r="T110" i="38"/>
  <c r="S110" i="38"/>
  <c r="R110" i="38"/>
  <c r="Q110" i="38"/>
  <c r="C110" i="38"/>
  <c r="AI109" i="38"/>
  <c r="AH109" i="38"/>
  <c r="AI108" i="38"/>
  <c r="AH108" i="38"/>
  <c r="AI107" i="38"/>
  <c r="AH107" i="38"/>
  <c r="AI106" i="38"/>
  <c r="AH106" i="38"/>
  <c r="AI105" i="38"/>
  <c r="AH105" i="38"/>
  <c r="AI104" i="38"/>
  <c r="AH104" i="38"/>
  <c r="AI103" i="38"/>
  <c r="AH103" i="38"/>
  <c r="AI102" i="38"/>
  <c r="AH102" i="38"/>
  <c r="AI101" i="38"/>
  <c r="AH101" i="38"/>
  <c r="AI99" i="38"/>
  <c r="AH99" i="38"/>
  <c r="AI98" i="38"/>
  <c r="AH98" i="38"/>
  <c r="AI97" i="38"/>
  <c r="AH97" i="38"/>
  <c r="AI96" i="38"/>
  <c r="AH96" i="38"/>
  <c r="AI95" i="38"/>
  <c r="AH95" i="38"/>
  <c r="AI94" i="38"/>
  <c r="AH94" i="38"/>
  <c r="AI93" i="38"/>
  <c r="AH93" i="38"/>
  <c r="AI90" i="38"/>
  <c r="AH90" i="38"/>
  <c r="AI88" i="38"/>
  <c r="AH88" i="38"/>
  <c r="AG88" i="38"/>
  <c r="AI87" i="38"/>
  <c r="AH87" i="38"/>
  <c r="AI86" i="38"/>
  <c r="AH86" i="38"/>
  <c r="AI85" i="38"/>
  <c r="AH85" i="38"/>
  <c r="AN84" i="38"/>
  <c r="AG84" i="38"/>
  <c r="AF84" i="38"/>
  <c r="AF100" i="38" s="1"/>
  <c r="AE84" i="38"/>
  <c r="AE100" i="38" s="1"/>
  <c r="AD84" i="38"/>
  <c r="AD100" i="38" s="1"/>
  <c r="AC84" i="38"/>
  <c r="AB5" i="38" s="1"/>
  <c r="AB84" i="38"/>
  <c r="AB100" i="38" s="1"/>
  <c r="AA84" i="38"/>
  <c r="AA100" i="38" s="1"/>
  <c r="Z84" i="38"/>
  <c r="Y84" i="38"/>
  <c r="Y100" i="38" s="1"/>
  <c r="X84" i="38"/>
  <c r="X100" i="38" s="1"/>
  <c r="W84" i="38"/>
  <c r="W100" i="38" s="1"/>
  <c r="V84" i="38"/>
  <c r="U5" i="38" s="1"/>
  <c r="U84" i="38"/>
  <c r="T5" i="38" s="1"/>
  <c r="T84" i="38"/>
  <c r="T100" i="38" s="1"/>
  <c r="S84" i="38"/>
  <c r="R5" i="38" s="1"/>
  <c r="R84" i="38"/>
  <c r="Q84" i="38"/>
  <c r="P5" i="38" s="1"/>
  <c r="P84" i="38"/>
  <c r="P100" i="38" s="1"/>
  <c r="O84" i="38"/>
  <c r="O100" i="38" s="1"/>
  <c r="N84" i="38"/>
  <c r="M5" i="38" s="1"/>
  <c r="M84" i="38"/>
  <c r="M100" i="38" s="1"/>
  <c r="L84" i="38"/>
  <c r="L100" i="38" s="1"/>
  <c r="K84" i="38"/>
  <c r="J5" i="38" s="1"/>
  <c r="J84" i="38"/>
  <c r="I84" i="38"/>
  <c r="I100" i="38" s="1"/>
  <c r="H84" i="38"/>
  <c r="H100" i="38" s="1"/>
  <c r="G84" i="38"/>
  <c r="G100" i="38" s="1"/>
  <c r="F84" i="38"/>
  <c r="F100" i="38" s="1"/>
  <c r="E84" i="38"/>
  <c r="E100" i="38" s="1"/>
  <c r="D84" i="38"/>
  <c r="D100" i="38" s="1"/>
  <c r="C84" i="38"/>
  <c r="B5" i="38" s="1"/>
  <c r="AF5" i="38"/>
  <c r="AI83" i="38"/>
  <c r="AH83" i="38"/>
  <c r="AN82" i="38"/>
  <c r="AI82" i="38"/>
  <c r="AH82" i="38"/>
  <c r="AN81" i="38"/>
  <c r="AN83" i="38" s="1"/>
  <c r="AI81" i="38"/>
  <c r="AH81" i="38"/>
  <c r="AI80" i="38"/>
  <c r="AH80" i="38"/>
  <c r="AI79" i="38"/>
  <c r="AH79" i="38"/>
  <c r="AI78" i="38"/>
  <c r="AH78" i="38"/>
  <c r="AI77" i="38"/>
  <c r="AH77" i="38"/>
  <c r="AI76" i="38"/>
  <c r="AH76" i="38"/>
  <c r="AI75" i="38"/>
  <c r="AH75" i="38"/>
  <c r="AI74" i="38"/>
  <c r="AH74" i="38"/>
  <c r="AI73" i="38"/>
  <c r="AH73" i="38"/>
  <c r="AG72" i="38"/>
  <c r="AF72" i="38"/>
  <c r="AE72" i="38"/>
  <c r="AD72" i="38"/>
  <c r="AC72" i="38"/>
  <c r="AB72" i="38"/>
  <c r="AA72" i="38"/>
  <c r="Z72" i="38"/>
  <c r="Y72" i="38"/>
  <c r="X72" i="38"/>
  <c r="W72" i="38"/>
  <c r="V72" i="38"/>
  <c r="U72" i="38"/>
  <c r="T72" i="38"/>
  <c r="S72" i="38"/>
  <c r="R72" i="38"/>
  <c r="Q72" i="38"/>
  <c r="P72" i="38"/>
  <c r="O72" i="38"/>
  <c r="N72" i="38"/>
  <c r="M72" i="38"/>
  <c r="L72" i="38"/>
  <c r="AI71" i="38"/>
  <c r="AH71" i="38"/>
  <c r="AI70" i="38"/>
  <c r="AH70" i="38"/>
  <c r="AI69" i="38"/>
  <c r="AH69" i="38"/>
  <c r="AG68" i="38"/>
  <c r="AF68" i="38"/>
  <c r="AE68" i="38"/>
  <c r="AD68" i="38"/>
  <c r="AC68" i="38"/>
  <c r="AB68" i="38"/>
  <c r="AA68" i="38"/>
  <c r="Z68" i="38"/>
  <c r="Y68" i="38"/>
  <c r="X68" i="38"/>
  <c r="W68" i="38"/>
  <c r="V68" i="38"/>
  <c r="U68" i="38"/>
  <c r="T68" i="38"/>
  <c r="S68" i="38"/>
  <c r="R68" i="38"/>
  <c r="Q68" i="38"/>
  <c r="P68" i="38"/>
  <c r="O68" i="38"/>
  <c r="N68" i="38"/>
  <c r="M68" i="38"/>
  <c r="L68" i="38"/>
  <c r="K68" i="38"/>
  <c r="J68" i="38"/>
  <c r="I68" i="38"/>
  <c r="H68" i="38"/>
  <c r="G68" i="38"/>
  <c r="F68" i="38"/>
  <c r="E68" i="38"/>
  <c r="AI67" i="38"/>
  <c r="AH67" i="38"/>
  <c r="AG67" i="38"/>
  <c r="AI66" i="38"/>
  <c r="AH66" i="38"/>
  <c r="AI65" i="38"/>
  <c r="AH65" i="38"/>
  <c r="AI64" i="38"/>
  <c r="AH64" i="38"/>
  <c r="AI63" i="38"/>
  <c r="AH63" i="38"/>
  <c r="AI62" i="38"/>
  <c r="AH62" i="38"/>
  <c r="AI61" i="38"/>
  <c r="AH61" i="38"/>
  <c r="AI60" i="38"/>
  <c r="AH60" i="38"/>
  <c r="AI59" i="38"/>
  <c r="AH59" i="38"/>
  <c r="AI58" i="38"/>
  <c r="AH58" i="38"/>
  <c r="AI57" i="38"/>
  <c r="AH57" i="38"/>
  <c r="AI56" i="38"/>
  <c r="AH56" i="38"/>
  <c r="AI55" i="38"/>
  <c r="AH55" i="38"/>
  <c r="AG54" i="38"/>
  <c r="AF54" i="38"/>
  <c r="AE54" i="38"/>
  <c r="AD54" i="38"/>
  <c r="AC54" i="38"/>
  <c r="AB54" i="38"/>
  <c r="AA54" i="38"/>
  <c r="Z54" i="38"/>
  <c r="Y54" i="38"/>
  <c r="X54" i="38"/>
  <c r="W54" i="38"/>
  <c r="V54" i="38"/>
  <c r="U54" i="38"/>
  <c r="T54" i="38"/>
  <c r="S54" i="38"/>
  <c r="R54" i="38"/>
  <c r="Q54" i="38"/>
  <c r="P54" i="38"/>
  <c r="O54" i="38"/>
  <c r="N54" i="38"/>
  <c r="M54" i="38"/>
  <c r="L54" i="38"/>
  <c r="K54" i="38"/>
  <c r="J54" i="38"/>
  <c r="I54" i="38"/>
  <c r="H54" i="38"/>
  <c r="G54" i="38"/>
  <c r="F54" i="38"/>
  <c r="E54" i="38"/>
  <c r="AI53" i="38"/>
  <c r="AH53" i="38"/>
  <c r="AI52" i="38"/>
  <c r="AH52" i="38"/>
  <c r="AI51" i="38"/>
  <c r="AH51" i="38"/>
  <c r="AG50" i="38"/>
  <c r="AF50" i="38"/>
  <c r="AE50" i="38"/>
  <c r="AD50" i="38"/>
  <c r="AC50" i="38"/>
  <c r="AB50" i="38"/>
  <c r="AA50" i="38"/>
  <c r="Z50" i="38"/>
  <c r="Y50" i="38"/>
  <c r="X50" i="38"/>
  <c r="W50" i="38"/>
  <c r="V50" i="38"/>
  <c r="U50" i="38"/>
  <c r="T50" i="38"/>
  <c r="S50" i="38"/>
  <c r="R50" i="38"/>
  <c r="Q50" i="38"/>
  <c r="P50" i="38"/>
  <c r="O50" i="38"/>
  <c r="N50" i="38"/>
  <c r="M50" i="38"/>
  <c r="L50" i="38"/>
  <c r="K50" i="38"/>
  <c r="J50" i="38"/>
  <c r="I50" i="38"/>
  <c r="H50" i="38"/>
  <c r="G50" i="38"/>
  <c r="F50" i="38"/>
  <c r="E50" i="38"/>
  <c r="AI49" i="38"/>
  <c r="AH49" i="38"/>
  <c r="AI48" i="38"/>
  <c r="AH48" i="38"/>
  <c r="AI47" i="38"/>
  <c r="AH47" i="38"/>
  <c r="AI46" i="38"/>
  <c r="AH46" i="38"/>
  <c r="AI45" i="38"/>
  <c r="AH45" i="38"/>
  <c r="AI44" i="38"/>
  <c r="AH44" i="38"/>
  <c r="AI43" i="38"/>
  <c r="AH43" i="38"/>
  <c r="AI42" i="38"/>
  <c r="AH42" i="38"/>
  <c r="AI41" i="38"/>
  <c r="AH41" i="38"/>
  <c r="AI40" i="38"/>
  <c r="AH40" i="38"/>
  <c r="AI39" i="38"/>
  <c r="AH39" i="38"/>
  <c r="AI38" i="38"/>
  <c r="AH38" i="38"/>
  <c r="AI37" i="38"/>
  <c r="AH37" i="38"/>
  <c r="AI36" i="38"/>
  <c r="AH36" i="38"/>
  <c r="AI35" i="38"/>
  <c r="AH35" i="38"/>
  <c r="AI34" i="38"/>
  <c r="AH34" i="38"/>
  <c r="AI33" i="38"/>
  <c r="AH33" i="38"/>
  <c r="AI32" i="38"/>
  <c r="AH32" i="38"/>
  <c r="AI31" i="38"/>
  <c r="AH31" i="38"/>
  <c r="AI30" i="38"/>
  <c r="AH30" i="38"/>
  <c r="AI29" i="38"/>
  <c r="AH29" i="38"/>
  <c r="AI28" i="38"/>
  <c r="AH28" i="38"/>
  <c r="AI27" i="38"/>
  <c r="AH27" i="38"/>
  <c r="AI26" i="38"/>
  <c r="AH26" i="38"/>
  <c r="AI25" i="38"/>
  <c r="AH25" i="38"/>
  <c r="AI24" i="38"/>
  <c r="AH24" i="38"/>
  <c r="AI23" i="38"/>
  <c r="AH23" i="38"/>
  <c r="AI22" i="38"/>
  <c r="AH22" i="38"/>
  <c r="AI21" i="38"/>
  <c r="AH21" i="38"/>
  <c r="AI20" i="38"/>
  <c r="AH20" i="38"/>
  <c r="AI19" i="38"/>
  <c r="AH19" i="38"/>
  <c r="AI18" i="38"/>
  <c r="AH18" i="38"/>
  <c r="AI17" i="38"/>
  <c r="AH17" i="38"/>
  <c r="AI16" i="38"/>
  <c r="AH16" i="38"/>
  <c r="AI15" i="38"/>
  <c r="AH15" i="38"/>
  <c r="AI14" i="38"/>
  <c r="AH14" i="38"/>
  <c r="AI13" i="38"/>
  <c r="AH13" i="38"/>
  <c r="AI12" i="38"/>
  <c r="AH12" i="38"/>
  <c r="AI11" i="38"/>
  <c r="AH11" i="38"/>
  <c r="AG4" i="38"/>
  <c r="K4" i="38"/>
  <c r="E4" i="38"/>
  <c r="H4" i="38" s="1"/>
  <c r="B4" i="38"/>
  <c r="AG3" i="38"/>
  <c r="AF113" i="37"/>
  <c r="AF49" i="37"/>
  <c r="AF50" i="37"/>
  <c r="AF54" i="37"/>
  <c r="AF68" i="37"/>
  <c r="AF72" i="37"/>
  <c r="AE113" i="37"/>
  <c r="AE49" i="37"/>
  <c r="AE23" i="37"/>
  <c r="AE50" i="37"/>
  <c r="AE54" i="37"/>
  <c r="AE68" i="37"/>
  <c r="AE72" i="37"/>
  <c r="AD113" i="37"/>
  <c r="AD49" i="37"/>
  <c r="M270" i="39" l="1"/>
  <c r="O234" i="39"/>
  <c r="N110" i="39"/>
  <c r="O230" i="39"/>
  <c r="AF89" i="38"/>
  <c r="AF91" i="38" s="1"/>
  <c r="AF7" i="38" s="1"/>
  <c r="AD5" i="38"/>
  <c r="AD89" i="38"/>
  <c r="AD91" i="38" s="1"/>
  <c r="AC5" i="38"/>
  <c r="AC100" i="38"/>
  <c r="AB89" i="38"/>
  <c r="AB91" i="38" s="1"/>
  <c r="AB7" i="38" s="1"/>
  <c r="Z5" i="38"/>
  <c r="AA89" i="38"/>
  <c r="AA91" i="38" s="1"/>
  <c r="AA7" i="38" s="1"/>
  <c r="Y89" i="38"/>
  <c r="Y91" i="38" s="1"/>
  <c r="AQ249" i="38" s="1"/>
  <c r="X5" i="38"/>
  <c r="X89" i="38"/>
  <c r="X91" i="38" s="1"/>
  <c r="X92" i="38" s="1"/>
  <c r="V100" i="38"/>
  <c r="V89" i="38"/>
  <c r="V91" i="38" s="1"/>
  <c r="V92" i="38" s="1"/>
  <c r="U100" i="38"/>
  <c r="T89" i="38"/>
  <c r="T91" i="38" s="1"/>
  <c r="T7" i="38" s="1"/>
  <c r="S89" i="38"/>
  <c r="S91" i="38" s="1"/>
  <c r="S7" i="38" s="1"/>
  <c r="Q100" i="38"/>
  <c r="Q89" i="38"/>
  <c r="Q91" i="38" s="1"/>
  <c r="Q7" i="38" s="1"/>
  <c r="P89" i="38"/>
  <c r="P91" i="38" s="1"/>
  <c r="P92" i="38" s="1"/>
  <c r="N5" i="38"/>
  <c r="N100" i="38"/>
  <c r="N89" i="38"/>
  <c r="N91" i="38" s="1"/>
  <c r="AF249" i="38" s="1"/>
  <c r="L5" i="38"/>
  <c r="AI54" i="38"/>
  <c r="L89" i="38"/>
  <c r="L91" i="38" s="1"/>
  <c r="L7" i="38" s="1"/>
  <c r="K89" i="38"/>
  <c r="K91" i="38" s="1"/>
  <c r="K7" i="38" s="1"/>
  <c r="H5" i="38"/>
  <c r="I89" i="38"/>
  <c r="I91" i="38" s="1"/>
  <c r="I7" i="38" s="1"/>
  <c r="H89" i="38"/>
  <c r="H91" i="38" s="1"/>
  <c r="H92" i="38" s="1"/>
  <c r="AH54" i="38"/>
  <c r="E5" i="38"/>
  <c r="F89" i="38"/>
  <c r="F91" i="38" s="1"/>
  <c r="X249" i="38" s="1"/>
  <c r="D5" i="38"/>
  <c r="D89" i="38"/>
  <c r="D91" i="38" s="1"/>
  <c r="D7" i="38" s="1"/>
  <c r="C89" i="38"/>
  <c r="C91" i="38" s="1"/>
  <c r="U249" i="38" s="1"/>
  <c r="B89" i="38"/>
  <c r="B91" i="38" s="1"/>
  <c r="B92" i="38" s="1"/>
  <c r="AH72" i="38"/>
  <c r="AV249" i="38"/>
  <c r="AD92" i="38"/>
  <c r="AD7" i="38"/>
  <c r="N92" i="38"/>
  <c r="N7" i="38"/>
  <c r="F234" i="38"/>
  <c r="D270" i="38"/>
  <c r="D235" i="38"/>
  <c r="E229" i="38"/>
  <c r="D110" i="38"/>
  <c r="AN249" i="38"/>
  <c r="R89" i="38"/>
  <c r="R91" i="38" s="1"/>
  <c r="AX249" i="38"/>
  <c r="AI84" i="38"/>
  <c r="Q5" i="38"/>
  <c r="R100" i="38"/>
  <c r="AH84" i="38"/>
  <c r="J89" i="38"/>
  <c r="J91" i="38" s="1"/>
  <c r="Z89" i="38"/>
  <c r="Z91" i="38" s="1"/>
  <c r="AI68" i="38"/>
  <c r="C92" i="38"/>
  <c r="F5" i="38"/>
  <c r="V5" i="38"/>
  <c r="C7" i="38"/>
  <c r="AH50" i="38"/>
  <c r="E89" i="38"/>
  <c r="E91" i="38" s="1"/>
  <c r="M89" i="38"/>
  <c r="M91" i="38" s="1"/>
  <c r="U89" i="38"/>
  <c r="U91" i="38" s="1"/>
  <c r="AC89" i="38"/>
  <c r="AC91" i="38" s="1"/>
  <c r="D92" i="38"/>
  <c r="V249" i="38"/>
  <c r="AB92" i="38"/>
  <c r="J232" i="38"/>
  <c r="K232" i="38" s="1"/>
  <c r="L232" i="38" s="1"/>
  <c r="M232" i="38" s="1"/>
  <c r="N232" i="38" s="1"/>
  <c r="O232" i="38" s="1"/>
  <c r="P232" i="38" s="1"/>
  <c r="AG89" i="38"/>
  <c r="AG2" i="38"/>
  <c r="AG6" i="38" s="1"/>
  <c r="X7" i="38"/>
  <c r="AP249" i="38"/>
  <c r="AI72" i="38"/>
  <c r="I5" i="38"/>
  <c r="J100" i="38"/>
  <c r="Z100" i="38"/>
  <c r="Y5" i="38"/>
  <c r="AG91" i="38"/>
  <c r="S246" i="38"/>
  <c r="D246" i="38"/>
  <c r="G89" i="38"/>
  <c r="G91" i="38" s="1"/>
  <c r="O89" i="38"/>
  <c r="O91" i="38" s="1"/>
  <c r="W89" i="38"/>
  <c r="W91" i="38" s="1"/>
  <c r="AE89" i="38"/>
  <c r="AE91" i="38" s="1"/>
  <c r="AH68" i="38"/>
  <c r="G5" i="38"/>
  <c r="O5" i="38"/>
  <c r="W5" i="38"/>
  <c r="AE5" i="38"/>
  <c r="C100" i="38"/>
  <c r="K100" i="38"/>
  <c r="S100" i="38"/>
  <c r="AI50" i="38"/>
  <c r="C5" i="38"/>
  <c r="K5" i="38"/>
  <c r="S5" i="38"/>
  <c r="AA5" i="38"/>
  <c r="AC113" i="37"/>
  <c r="AC49" i="37"/>
  <c r="AB113" i="37"/>
  <c r="AB49" i="37"/>
  <c r="AF92" i="38" l="1"/>
  <c r="P230" i="39"/>
  <c r="N270" i="39"/>
  <c r="P234" i="39"/>
  <c r="O270" i="39" s="1"/>
  <c r="AT249" i="38"/>
  <c r="AS249" i="38"/>
  <c r="AA92" i="38"/>
  <c r="AK249" i="38"/>
  <c r="Y7" i="38"/>
  <c r="Y92" i="38"/>
  <c r="V7" i="38"/>
  <c r="AL249" i="38"/>
  <c r="T92" i="38"/>
  <c r="S92" i="38"/>
  <c r="AI249" i="38"/>
  <c r="Q92" i="38"/>
  <c r="P7" i="38"/>
  <c r="AH249" i="38"/>
  <c r="AD249" i="38"/>
  <c r="L92" i="38"/>
  <c r="K92" i="38"/>
  <c r="AC249" i="38"/>
  <c r="Z249" i="38"/>
  <c r="AA249" i="38"/>
  <c r="I92" i="38"/>
  <c r="H7" i="38"/>
  <c r="F7" i="38"/>
  <c r="F92" i="38"/>
  <c r="U92" i="38"/>
  <c r="AM249" i="38"/>
  <c r="U7" i="38"/>
  <c r="M92" i="38"/>
  <c r="AE249" i="38"/>
  <c r="M7" i="38"/>
  <c r="AW249" i="38"/>
  <c r="AE7" i="38"/>
  <c r="AE92" i="38"/>
  <c r="E92" i="38"/>
  <c r="W249" i="38"/>
  <c r="E7" i="38"/>
  <c r="AG249" i="38"/>
  <c r="O7" i="38"/>
  <c r="O92" i="38"/>
  <c r="Z92" i="38"/>
  <c r="AR249" i="38"/>
  <c r="Z7" i="38"/>
  <c r="F229" i="38"/>
  <c r="E110" i="38"/>
  <c r="E235" i="38"/>
  <c r="AI100" i="38"/>
  <c r="AH100" i="38"/>
  <c r="Y249" i="38"/>
  <c r="C244" i="38"/>
  <c r="B244" i="38"/>
  <c r="G7" i="38"/>
  <c r="G92" i="38"/>
  <c r="J92" i="38"/>
  <c r="AB249" i="38"/>
  <c r="J7" i="38"/>
  <c r="R92" i="38"/>
  <c r="AJ249" i="38"/>
  <c r="R7" i="38"/>
  <c r="AO249" i="38"/>
  <c r="W7" i="38"/>
  <c r="W92" i="38"/>
  <c r="AI89" i="38"/>
  <c r="AH89" i="38"/>
  <c r="AC92" i="38"/>
  <c r="AU249" i="38"/>
  <c r="AC7" i="38"/>
  <c r="E270" i="38"/>
  <c r="G234" i="38"/>
  <c r="AI110" i="39" l="1"/>
  <c r="AH110" i="39"/>
  <c r="K6" i="38"/>
  <c r="G229" i="38"/>
  <c r="F235" i="38"/>
  <c r="F110" i="38"/>
  <c r="F270" i="38"/>
  <c r="H234" i="38"/>
  <c r="T249" i="38"/>
  <c r="AI91" i="38"/>
  <c r="B7" i="38"/>
  <c r="A7" i="38" s="1"/>
  <c r="AH91" i="38"/>
  <c r="AI92" i="38" l="1"/>
  <c r="AH92" i="38"/>
  <c r="G270" i="38"/>
  <c r="I234" i="38"/>
  <c r="H229" i="38"/>
  <c r="G235" i="38"/>
  <c r="G110" i="38"/>
  <c r="I229" i="38" l="1"/>
  <c r="H110" i="38"/>
  <c r="H235" i="38"/>
  <c r="H270" i="38"/>
  <c r="J234" i="38"/>
  <c r="K234" i="38" l="1"/>
  <c r="I270" i="38"/>
  <c r="I110" i="38"/>
  <c r="J229" i="38"/>
  <c r="J110" i="38" l="1"/>
  <c r="K229" i="38"/>
  <c r="J270" i="38"/>
  <c r="L234" i="38"/>
  <c r="X113" i="37"/>
  <c r="R49" i="37"/>
  <c r="Q49" i="37"/>
  <c r="K270" i="38" l="1"/>
  <c r="M234" i="38"/>
  <c r="K110" i="38"/>
  <c r="L229" i="38"/>
  <c r="M229" i="38" l="1"/>
  <c r="L110" i="38"/>
  <c r="N234" i="38"/>
  <c r="L270" i="38"/>
  <c r="M270" i="38" l="1"/>
  <c r="O234" i="38"/>
  <c r="N229" i="38"/>
  <c r="M110" i="38"/>
  <c r="O229" i="38" l="1"/>
  <c r="N110" i="38"/>
  <c r="N270" i="38"/>
  <c r="P234" i="38"/>
  <c r="O270" i="38" s="1"/>
  <c r="P229" i="38" l="1"/>
  <c r="O110" i="38"/>
  <c r="AH110" i="38" l="1"/>
  <c r="AI110" i="38"/>
  <c r="P49" i="37" l="1"/>
  <c r="O49" i="37"/>
  <c r="E4" i="37"/>
  <c r="E4" i="6"/>
  <c r="N49" i="37"/>
  <c r="B4" i="6"/>
  <c r="B4" i="36"/>
  <c r="B4" i="37"/>
  <c r="L113" i="37" l="1"/>
  <c r="K113" i="37"/>
  <c r="I113" i="37"/>
  <c r="J113" i="37"/>
  <c r="I100" i="37"/>
  <c r="J100" i="37"/>
  <c r="K100" i="37"/>
  <c r="H113" i="37"/>
  <c r="AF274" i="37"/>
  <c r="AE274" i="37"/>
  <c r="AD274" i="37"/>
  <c r="AC274" i="37"/>
  <c r="AB274" i="37"/>
  <c r="AA274" i="37"/>
  <c r="Z274" i="37"/>
  <c r="Y274" i="37"/>
  <c r="X274" i="37"/>
  <c r="W274" i="37"/>
  <c r="V274" i="37"/>
  <c r="U274" i="37"/>
  <c r="T274" i="37"/>
  <c r="S274" i="37"/>
  <c r="R274" i="37"/>
  <c r="Q274" i="37"/>
  <c r="P274" i="37"/>
  <c r="O274" i="37"/>
  <c r="N274" i="37"/>
  <c r="M274" i="37"/>
  <c r="L274" i="37"/>
  <c r="K274" i="37"/>
  <c r="J274" i="37"/>
  <c r="I274" i="37"/>
  <c r="H274" i="37"/>
  <c r="G274" i="37"/>
  <c r="F274" i="37"/>
  <c r="E274" i="37"/>
  <c r="D274" i="37"/>
  <c r="C274" i="37"/>
  <c r="B274" i="37"/>
  <c r="A274" i="37"/>
  <c r="AF273" i="37"/>
  <c r="AE273" i="37"/>
  <c r="AD273" i="37"/>
  <c r="AC273" i="37"/>
  <c r="AB273" i="37"/>
  <c r="AA273" i="37"/>
  <c r="Z273" i="37"/>
  <c r="Y273" i="37"/>
  <c r="X273" i="37"/>
  <c r="W273" i="37"/>
  <c r="V273" i="37"/>
  <c r="U273" i="37"/>
  <c r="T273" i="37"/>
  <c r="S273" i="37"/>
  <c r="R273" i="37"/>
  <c r="Q273" i="37"/>
  <c r="P273" i="37"/>
  <c r="O273" i="37"/>
  <c r="N273" i="37"/>
  <c r="M273" i="37"/>
  <c r="L273" i="37"/>
  <c r="K273" i="37"/>
  <c r="J273" i="37"/>
  <c r="I273" i="37"/>
  <c r="H273" i="37"/>
  <c r="G273" i="37"/>
  <c r="F273" i="37"/>
  <c r="E273" i="37"/>
  <c r="D273" i="37"/>
  <c r="C273" i="37"/>
  <c r="B273" i="37"/>
  <c r="A273" i="37"/>
  <c r="AF272" i="37"/>
  <c r="AE272" i="37"/>
  <c r="AD272" i="37"/>
  <c r="AC272" i="37"/>
  <c r="AB272" i="37"/>
  <c r="AA272" i="37"/>
  <c r="Z272" i="37"/>
  <c r="Y272" i="37"/>
  <c r="X272" i="37"/>
  <c r="W272" i="37"/>
  <c r="V272" i="37"/>
  <c r="U272" i="37"/>
  <c r="T272" i="37"/>
  <c r="S272" i="37"/>
  <c r="R272" i="37"/>
  <c r="Q272" i="37"/>
  <c r="P272" i="37"/>
  <c r="O272" i="37"/>
  <c r="N272" i="37"/>
  <c r="M272" i="37"/>
  <c r="L272" i="37"/>
  <c r="K272" i="37"/>
  <c r="J272" i="37"/>
  <c r="I272" i="37"/>
  <c r="H272" i="37"/>
  <c r="G272" i="37"/>
  <c r="F272" i="37"/>
  <c r="E272" i="37"/>
  <c r="D272" i="37"/>
  <c r="C272" i="37"/>
  <c r="B272" i="37"/>
  <c r="A272" i="37"/>
  <c r="AF271" i="37"/>
  <c r="AE271" i="37"/>
  <c r="AD271" i="37"/>
  <c r="AC271" i="37"/>
  <c r="AB271" i="37"/>
  <c r="AA271" i="37"/>
  <c r="Z271" i="37"/>
  <c r="Y271" i="37"/>
  <c r="X271" i="37"/>
  <c r="W271" i="37"/>
  <c r="V271" i="37"/>
  <c r="U271" i="37"/>
  <c r="T271" i="37"/>
  <c r="S271" i="37"/>
  <c r="R271" i="37"/>
  <c r="Q271" i="37"/>
  <c r="P271" i="37"/>
  <c r="O271" i="37"/>
  <c r="N271" i="37"/>
  <c r="M271" i="37"/>
  <c r="L271" i="37"/>
  <c r="K271" i="37"/>
  <c r="J271" i="37"/>
  <c r="I271" i="37"/>
  <c r="H271" i="37"/>
  <c r="G271" i="37"/>
  <c r="F271" i="37"/>
  <c r="E271" i="37"/>
  <c r="D271" i="37"/>
  <c r="C271" i="37"/>
  <c r="B271" i="37"/>
  <c r="A271" i="37"/>
  <c r="AE270" i="37"/>
  <c r="AD270" i="37"/>
  <c r="AC270" i="37"/>
  <c r="AB270" i="37"/>
  <c r="AA270" i="37"/>
  <c r="Z270" i="37"/>
  <c r="Y270" i="37"/>
  <c r="X270" i="37"/>
  <c r="W270" i="37"/>
  <c r="V270" i="37"/>
  <c r="U270" i="37"/>
  <c r="T270" i="37"/>
  <c r="S270" i="37"/>
  <c r="R270" i="37"/>
  <c r="Q270" i="37"/>
  <c r="P270" i="37"/>
  <c r="B270" i="37"/>
  <c r="S245" i="37"/>
  <c r="AG235" i="37"/>
  <c r="AF235" i="37"/>
  <c r="AE235" i="37"/>
  <c r="AD235" i="37"/>
  <c r="AC235" i="37"/>
  <c r="AB235" i="37"/>
  <c r="AA235" i="37"/>
  <c r="Z235" i="37"/>
  <c r="Y235" i="37"/>
  <c r="X235" i="37"/>
  <c r="W235" i="37"/>
  <c r="V235" i="37"/>
  <c r="U235" i="37"/>
  <c r="T235" i="37"/>
  <c r="S235" i="37"/>
  <c r="R235" i="37"/>
  <c r="Q235" i="37"/>
  <c r="C235" i="37"/>
  <c r="D234" i="37"/>
  <c r="C270" i="37" s="1"/>
  <c r="B234" i="37"/>
  <c r="AF270" i="37" s="1"/>
  <c r="E233" i="37"/>
  <c r="F233" i="37" s="1"/>
  <c r="G233" i="37" s="1"/>
  <c r="H233" i="37" s="1"/>
  <c r="I233" i="37" s="1"/>
  <c r="J233" i="37" s="1"/>
  <c r="K233" i="37" s="1"/>
  <c r="L233" i="37" s="1"/>
  <c r="M233" i="37" s="1"/>
  <c r="N233" i="37" s="1"/>
  <c r="O233" i="37" s="1"/>
  <c r="P233" i="37" s="1"/>
  <c r="D233" i="37"/>
  <c r="B233" i="37"/>
  <c r="H232" i="37"/>
  <c r="I232" i="37" s="1"/>
  <c r="G232" i="37"/>
  <c r="F232" i="37"/>
  <c r="E232" i="37"/>
  <c r="D232" i="37"/>
  <c r="B232" i="37"/>
  <c r="F231" i="37"/>
  <c r="G231" i="37" s="1"/>
  <c r="H231" i="37" s="1"/>
  <c r="E231" i="37"/>
  <c r="D231" i="37"/>
  <c r="B231" i="37"/>
  <c r="D230" i="37"/>
  <c r="D235" i="37" s="1"/>
  <c r="B230" i="37"/>
  <c r="E229" i="37"/>
  <c r="F229" i="37" s="1"/>
  <c r="D229" i="37"/>
  <c r="B229" i="37"/>
  <c r="B235" i="37" s="1"/>
  <c r="AG227" i="37"/>
  <c r="AF227" i="37"/>
  <c r="AE227" i="37"/>
  <c r="AD227" i="37"/>
  <c r="AC227" i="37"/>
  <c r="AB227" i="37"/>
  <c r="AA227" i="37"/>
  <c r="Z227" i="37"/>
  <c r="Y227" i="37"/>
  <c r="X227" i="37"/>
  <c r="W227" i="37"/>
  <c r="V227" i="37"/>
  <c r="U227" i="37"/>
  <c r="T227" i="37"/>
  <c r="S227" i="37"/>
  <c r="R227" i="37"/>
  <c r="Q227" i="37"/>
  <c r="P227" i="37"/>
  <c r="O227" i="37"/>
  <c r="N227" i="37"/>
  <c r="M227" i="37"/>
  <c r="L227" i="37"/>
  <c r="K227" i="37"/>
  <c r="J227" i="37"/>
  <c r="I227" i="37"/>
  <c r="H227" i="37"/>
  <c r="G227" i="37"/>
  <c r="F227" i="37"/>
  <c r="E227" i="37"/>
  <c r="D227" i="37"/>
  <c r="C227" i="37"/>
  <c r="B227" i="37"/>
  <c r="AI120" i="37"/>
  <c r="AH120" i="37"/>
  <c r="AI119" i="37"/>
  <c r="AH119" i="37"/>
  <c r="AI118" i="37"/>
  <c r="AH118" i="37"/>
  <c r="AI117" i="37"/>
  <c r="AH117" i="37"/>
  <c r="AI116" i="37"/>
  <c r="AH116" i="37"/>
  <c r="AI115" i="37"/>
  <c r="AH115" i="37"/>
  <c r="AI114" i="37"/>
  <c r="AH114" i="37"/>
  <c r="AI113" i="37"/>
  <c r="AH113" i="37"/>
  <c r="AI112" i="37"/>
  <c r="AH112" i="37"/>
  <c r="AI111" i="37"/>
  <c r="AH111" i="37"/>
  <c r="AF110" i="37"/>
  <c r="AE110" i="37"/>
  <c r="AC110" i="37"/>
  <c r="AB110" i="37"/>
  <c r="AA110" i="37"/>
  <c r="Z110" i="37"/>
  <c r="Y110" i="37"/>
  <c r="X110" i="37"/>
  <c r="W110" i="37"/>
  <c r="V110" i="37"/>
  <c r="U110" i="37"/>
  <c r="T110" i="37"/>
  <c r="S110" i="37"/>
  <c r="R110" i="37"/>
  <c r="Q110" i="37"/>
  <c r="D110" i="37"/>
  <c r="C110" i="37"/>
  <c r="AI109" i="37"/>
  <c r="AH109" i="37"/>
  <c r="AI108" i="37"/>
  <c r="AH108" i="37"/>
  <c r="AI107" i="37"/>
  <c r="AH107" i="37"/>
  <c r="AI106" i="37"/>
  <c r="AH106" i="37"/>
  <c r="AI105" i="37"/>
  <c r="AH105" i="37"/>
  <c r="AI104" i="37"/>
  <c r="AH104" i="37"/>
  <c r="AI103" i="37"/>
  <c r="AH103" i="37"/>
  <c r="AI102" i="37"/>
  <c r="AH102" i="37"/>
  <c r="AI101" i="37"/>
  <c r="AH101" i="37"/>
  <c r="AI99" i="37"/>
  <c r="AH99" i="37"/>
  <c r="AI98" i="37"/>
  <c r="AH98" i="37"/>
  <c r="AI97" i="37"/>
  <c r="AH97" i="37"/>
  <c r="AI96" i="37"/>
  <c r="AH96" i="37"/>
  <c r="AI95" i="37"/>
  <c r="AH95" i="37"/>
  <c r="AI94" i="37"/>
  <c r="AH94" i="37"/>
  <c r="AI93" i="37"/>
  <c r="AH93" i="37"/>
  <c r="AI90" i="37"/>
  <c r="AH90" i="37"/>
  <c r="AI88" i="37"/>
  <c r="AH88" i="37"/>
  <c r="AG88" i="37"/>
  <c r="AG91" i="37" s="1"/>
  <c r="AI87" i="37"/>
  <c r="AH87" i="37"/>
  <c r="AI86" i="37"/>
  <c r="AH86" i="37"/>
  <c r="AI85" i="37"/>
  <c r="AH85" i="37"/>
  <c r="AN84" i="37"/>
  <c r="AG84" i="37"/>
  <c r="AF84" i="37"/>
  <c r="AF100" i="37" s="1"/>
  <c r="AE84" i="37"/>
  <c r="AE100" i="37" s="1"/>
  <c r="AD84" i="37"/>
  <c r="AD100" i="37" s="1"/>
  <c r="AC84" i="37"/>
  <c r="AC100" i="37" s="1"/>
  <c r="AB84" i="37"/>
  <c r="AB100" i="37" s="1"/>
  <c r="AA84" i="37"/>
  <c r="AA100" i="37" s="1"/>
  <c r="Z84" i="37"/>
  <c r="Z100" i="37" s="1"/>
  <c r="Y84" i="37"/>
  <c r="Y100" i="37" s="1"/>
  <c r="X84" i="37"/>
  <c r="X100" i="37" s="1"/>
  <c r="W84" i="37"/>
  <c r="W100" i="37" s="1"/>
  <c r="V84" i="37"/>
  <c r="V100" i="37" s="1"/>
  <c r="U84" i="37"/>
  <c r="U100" i="37" s="1"/>
  <c r="T84" i="37"/>
  <c r="T100" i="37" s="1"/>
  <c r="S84" i="37"/>
  <c r="S100" i="37" s="1"/>
  <c r="R84" i="37"/>
  <c r="Q5" i="37" s="1"/>
  <c r="Q84" i="37"/>
  <c r="Q100" i="37" s="1"/>
  <c r="P84" i="37"/>
  <c r="P100" i="37" s="1"/>
  <c r="O84" i="37"/>
  <c r="O100" i="37" s="1"/>
  <c r="N84" i="37"/>
  <c r="N100" i="37" s="1"/>
  <c r="M84" i="37"/>
  <c r="M100" i="37" s="1"/>
  <c r="L84" i="37"/>
  <c r="L100" i="37" s="1"/>
  <c r="K84" i="37"/>
  <c r="J84" i="37"/>
  <c r="I5" i="37" s="1"/>
  <c r="I84" i="37"/>
  <c r="H84" i="37"/>
  <c r="H100" i="37" s="1"/>
  <c r="G84" i="37"/>
  <c r="G100" i="37" s="1"/>
  <c r="F84" i="37"/>
  <c r="F100" i="37" s="1"/>
  <c r="E84" i="37"/>
  <c r="E100" i="37" s="1"/>
  <c r="D84" i="37"/>
  <c r="D100" i="37" s="1"/>
  <c r="C84" i="37"/>
  <c r="C100" i="37" s="1"/>
  <c r="AI83" i="37"/>
  <c r="AH83" i="37"/>
  <c r="AN82" i="37"/>
  <c r="AI82" i="37"/>
  <c r="AH82" i="37"/>
  <c r="AN81" i="37"/>
  <c r="AN83" i="37" s="1"/>
  <c r="AI81" i="37"/>
  <c r="AH81" i="37"/>
  <c r="AI80" i="37"/>
  <c r="AH80" i="37"/>
  <c r="AI79" i="37"/>
  <c r="AH79" i="37"/>
  <c r="AI78" i="37"/>
  <c r="AH78" i="37"/>
  <c r="AI77" i="37"/>
  <c r="AH77" i="37"/>
  <c r="AI76" i="37"/>
  <c r="AH76" i="37"/>
  <c r="AI75" i="37"/>
  <c r="AH75" i="37"/>
  <c r="AI74" i="37"/>
  <c r="AH74" i="37"/>
  <c r="AI73" i="37"/>
  <c r="AH73" i="37"/>
  <c r="AG72" i="37"/>
  <c r="AD72" i="37"/>
  <c r="AC72" i="37"/>
  <c r="AB72" i="37"/>
  <c r="AA72" i="37"/>
  <c r="Z72" i="37"/>
  <c r="Y72" i="37"/>
  <c r="X72" i="37"/>
  <c r="W72" i="37"/>
  <c r="V72" i="37"/>
  <c r="U72" i="37"/>
  <c r="T72" i="37"/>
  <c r="S72" i="37"/>
  <c r="R72" i="37"/>
  <c r="Q72" i="37"/>
  <c r="P72" i="37"/>
  <c r="O72" i="37"/>
  <c r="N72" i="37"/>
  <c r="M72" i="37"/>
  <c r="L72" i="37"/>
  <c r="AI71" i="37"/>
  <c r="AH71" i="37"/>
  <c r="AI70" i="37"/>
  <c r="AH70" i="37"/>
  <c r="AI69" i="37"/>
  <c r="AH69" i="37"/>
  <c r="AG68" i="37"/>
  <c r="AD68" i="37"/>
  <c r="AC68" i="37"/>
  <c r="AB68" i="37"/>
  <c r="AA68" i="37"/>
  <c r="Z68" i="37"/>
  <c r="Y68" i="37"/>
  <c r="X68" i="37"/>
  <c r="W68" i="37"/>
  <c r="V68" i="37"/>
  <c r="U68" i="37"/>
  <c r="T68" i="37"/>
  <c r="S68" i="37"/>
  <c r="R68" i="37"/>
  <c r="Q68" i="37"/>
  <c r="P68" i="37"/>
  <c r="O68" i="37"/>
  <c r="N68" i="37"/>
  <c r="M68" i="37"/>
  <c r="L68" i="37"/>
  <c r="K68" i="37"/>
  <c r="J68" i="37"/>
  <c r="I68" i="37"/>
  <c r="H68" i="37"/>
  <c r="G68" i="37"/>
  <c r="F68" i="37"/>
  <c r="E68" i="37"/>
  <c r="D68" i="37"/>
  <c r="C68" i="37"/>
  <c r="AI67" i="37"/>
  <c r="AH67" i="37"/>
  <c r="AG67" i="37"/>
  <c r="AI66" i="37"/>
  <c r="AH66" i="37"/>
  <c r="AI65" i="37"/>
  <c r="AH65" i="37"/>
  <c r="AI64" i="37"/>
  <c r="AH64" i="37"/>
  <c r="AI63" i="37"/>
  <c r="AH63" i="37"/>
  <c r="AI62" i="37"/>
  <c r="AH62" i="37"/>
  <c r="AI61" i="37"/>
  <c r="AH61" i="37"/>
  <c r="AI60" i="37"/>
  <c r="AH60" i="37"/>
  <c r="AI59" i="37"/>
  <c r="AH59" i="37"/>
  <c r="AI58" i="37"/>
  <c r="AH58" i="37"/>
  <c r="AI57" i="37"/>
  <c r="AH57" i="37"/>
  <c r="AI56" i="37"/>
  <c r="AH56" i="37"/>
  <c r="AI55" i="37"/>
  <c r="AH55" i="37"/>
  <c r="AG54" i="37"/>
  <c r="AD54" i="37"/>
  <c r="AC54" i="37"/>
  <c r="AB54" i="37"/>
  <c r="AA54" i="37"/>
  <c r="Z54" i="37"/>
  <c r="Y54" i="37"/>
  <c r="X54" i="37"/>
  <c r="W54" i="37"/>
  <c r="V54" i="37"/>
  <c r="U54" i="37"/>
  <c r="T54" i="37"/>
  <c r="S54" i="37"/>
  <c r="R54" i="37"/>
  <c r="Q54" i="37"/>
  <c r="P54" i="37"/>
  <c r="O54" i="37"/>
  <c r="N54" i="37"/>
  <c r="M54" i="37"/>
  <c r="L54" i="37"/>
  <c r="K54" i="37"/>
  <c r="J54" i="37"/>
  <c r="I54" i="37"/>
  <c r="H54" i="37"/>
  <c r="G54" i="37"/>
  <c r="F54" i="37"/>
  <c r="E54" i="37"/>
  <c r="D54" i="37"/>
  <c r="C54" i="37"/>
  <c r="AI53" i="37"/>
  <c r="AH53" i="37"/>
  <c r="AI52" i="37"/>
  <c r="AH52" i="37"/>
  <c r="AI51" i="37"/>
  <c r="AH51" i="37"/>
  <c r="AG50" i="37"/>
  <c r="AG89" i="37" s="1"/>
  <c r="AF89" i="37"/>
  <c r="AF91" i="37" s="1"/>
  <c r="AD50" i="37"/>
  <c r="AC50" i="37"/>
  <c r="AB50" i="37"/>
  <c r="AA50" i="37"/>
  <c r="AA89" i="37" s="1"/>
  <c r="AA91" i="37" s="1"/>
  <c r="Z50" i="37"/>
  <c r="Y50" i="37"/>
  <c r="X50" i="37"/>
  <c r="W50" i="37"/>
  <c r="V50" i="37"/>
  <c r="U50" i="37"/>
  <c r="T50" i="37"/>
  <c r="S50" i="37"/>
  <c r="R50" i="37"/>
  <c r="Q50" i="37"/>
  <c r="P50" i="37"/>
  <c r="O50" i="37"/>
  <c r="N50" i="37"/>
  <c r="M50" i="37"/>
  <c r="L50" i="37"/>
  <c r="K50" i="37"/>
  <c r="J50" i="37"/>
  <c r="I50" i="37"/>
  <c r="H50" i="37"/>
  <c r="G50" i="37"/>
  <c r="F50" i="37"/>
  <c r="E50" i="37"/>
  <c r="D50" i="37"/>
  <c r="C50" i="37"/>
  <c r="AI49" i="37"/>
  <c r="AH49" i="37"/>
  <c r="AI48" i="37"/>
  <c r="AH48" i="37"/>
  <c r="AI47" i="37"/>
  <c r="AH47" i="37"/>
  <c r="AI46" i="37"/>
  <c r="AH46" i="37"/>
  <c r="AI45" i="37"/>
  <c r="AH45" i="37"/>
  <c r="AI44" i="37"/>
  <c r="AH44" i="37"/>
  <c r="AI43" i="37"/>
  <c r="AH43" i="37"/>
  <c r="AI42" i="37"/>
  <c r="AH42" i="37"/>
  <c r="AI41" i="37"/>
  <c r="AH41" i="37"/>
  <c r="AI40" i="37"/>
  <c r="AH40" i="37"/>
  <c r="AI39" i="37"/>
  <c r="AH39" i="37"/>
  <c r="AI38" i="37"/>
  <c r="AH38" i="37"/>
  <c r="AI37" i="37"/>
  <c r="AH37" i="37"/>
  <c r="AI36" i="37"/>
  <c r="AH36" i="37"/>
  <c r="AI35" i="37"/>
  <c r="AH35" i="37"/>
  <c r="AI34" i="37"/>
  <c r="AH34" i="37"/>
  <c r="AI33" i="37"/>
  <c r="AH33" i="37"/>
  <c r="AI32" i="37"/>
  <c r="AH32" i="37"/>
  <c r="AI31" i="37"/>
  <c r="AH31" i="37"/>
  <c r="AI30" i="37"/>
  <c r="AH30" i="37"/>
  <c r="AI29" i="37"/>
  <c r="AH29" i="37"/>
  <c r="AI28" i="37"/>
  <c r="AH28" i="37"/>
  <c r="AI27" i="37"/>
  <c r="AH27" i="37"/>
  <c r="AI26" i="37"/>
  <c r="AH26" i="37"/>
  <c r="AI25" i="37"/>
  <c r="AH25" i="37"/>
  <c r="AI24" i="37"/>
  <c r="AH24" i="37"/>
  <c r="AI23" i="37"/>
  <c r="AH23" i="37"/>
  <c r="AI22" i="37"/>
  <c r="AH22" i="37"/>
  <c r="AI21" i="37"/>
  <c r="AH21" i="37"/>
  <c r="AI20" i="37"/>
  <c r="AH20" i="37"/>
  <c r="AI19" i="37"/>
  <c r="AH19" i="37"/>
  <c r="AI18" i="37"/>
  <c r="AH18" i="37"/>
  <c r="AI17" i="37"/>
  <c r="AH17" i="37"/>
  <c r="AI16" i="37"/>
  <c r="AH16" i="37"/>
  <c r="AI15" i="37"/>
  <c r="AH15" i="37"/>
  <c r="AI14" i="37"/>
  <c r="AH14" i="37"/>
  <c r="AI13" i="37"/>
  <c r="AH13" i="37"/>
  <c r="AI12" i="37"/>
  <c r="AH12" i="37"/>
  <c r="AI11" i="37"/>
  <c r="AH11" i="37"/>
  <c r="AF5" i="37"/>
  <c r="AC5" i="37"/>
  <c r="X5" i="37"/>
  <c r="S5" i="37"/>
  <c r="C5" i="37"/>
  <c r="AG4" i="37"/>
  <c r="AG6" i="37" s="1"/>
  <c r="K4" i="37"/>
  <c r="H4" i="37"/>
  <c r="S246" i="37"/>
  <c r="AG3" i="37"/>
  <c r="AG2" i="37"/>
  <c r="AF50" i="36"/>
  <c r="AF54" i="36"/>
  <c r="AC50" i="36"/>
  <c r="AC54" i="36"/>
  <c r="AD5" i="37" l="1"/>
  <c r="AE89" i="37"/>
  <c r="AE91" i="37" s="1"/>
  <c r="AD89" i="37"/>
  <c r="AD91" i="37" s="1"/>
  <c r="AB5" i="37"/>
  <c r="AC89" i="37"/>
  <c r="AC91" i="37" s="1"/>
  <c r="AA5" i="37"/>
  <c r="AB89" i="37"/>
  <c r="AB91" i="37" s="1"/>
  <c r="Y5" i="37"/>
  <c r="Z89" i="37"/>
  <c r="Z91" i="37" s="1"/>
  <c r="Z7" i="37" s="1"/>
  <c r="Y89" i="37"/>
  <c r="Y91" i="37" s="1"/>
  <c r="X89" i="37"/>
  <c r="X91" i="37" s="1"/>
  <c r="V5" i="37"/>
  <c r="W89" i="37"/>
  <c r="W91" i="37" s="1"/>
  <c r="U5" i="37"/>
  <c r="V89" i="37"/>
  <c r="V91" i="37" s="1"/>
  <c r="T5" i="37"/>
  <c r="U89" i="37"/>
  <c r="U91" i="37" s="1"/>
  <c r="T89" i="37"/>
  <c r="T91" i="37" s="1"/>
  <c r="S89" i="37"/>
  <c r="S91" i="37" s="1"/>
  <c r="R100" i="37"/>
  <c r="R89" i="37"/>
  <c r="R91" i="37" s="1"/>
  <c r="P5" i="37"/>
  <c r="Q89" i="37"/>
  <c r="Q91" i="37" s="1"/>
  <c r="AH72" i="37"/>
  <c r="P89" i="37"/>
  <c r="P91" i="37" s="1"/>
  <c r="P7" i="37" s="1"/>
  <c r="N5" i="37"/>
  <c r="O89" i="37"/>
  <c r="O91" i="37" s="1"/>
  <c r="O92" i="37" s="1"/>
  <c r="M5" i="37"/>
  <c r="N89" i="37"/>
  <c r="N91" i="37" s="1"/>
  <c r="AF249" i="37" s="1"/>
  <c r="L5" i="37"/>
  <c r="M89" i="37"/>
  <c r="M91" i="37" s="1"/>
  <c r="AE249" i="37" s="1"/>
  <c r="K5" i="37"/>
  <c r="L89" i="37"/>
  <c r="L91" i="37" s="1"/>
  <c r="L92" i="37" s="1"/>
  <c r="H5" i="37"/>
  <c r="J89" i="37"/>
  <c r="J91" i="37" s="1"/>
  <c r="J7" i="37" s="1"/>
  <c r="K89" i="37"/>
  <c r="K91" i="37" s="1"/>
  <c r="K92" i="37" s="1"/>
  <c r="I89" i="37"/>
  <c r="I91" i="37" s="1"/>
  <c r="I92" i="37" s="1"/>
  <c r="F5" i="37"/>
  <c r="E5" i="37"/>
  <c r="D5" i="37"/>
  <c r="F89" i="37"/>
  <c r="F91" i="37" s="1"/>
  <c r="F92" i="37" s="1"/>
  <c r="H89" i="37"/>
  <c r="H91" i="37" s="1"/>
  <c r="Z249" i="37" s="1"/>
  <c r="E89" i="37"/>
  <c r="E91" i="37" s="1"/>
  <c r="E92" i="37" s="1"/>
  <c r="AH68" i="37"/>
  <c r="G89" i="37"/>
  <c r="G91" i="37" s="1"/>
  <c r="G92" i="37" s="1"/>
  <c r="D89" i="37"/>
  <c r="D91" i="37" s="1"/>
  <c r="D92" i="37" s="1"/>
  <c r="AH54" i="37"/>
  <c r="AH84" i="37"/>
  <c r="C89" i="37"/>
  <c r="C91" i="37" s="1"/>
  <c r="C7" i="37" s="1"/>
  <c r="D246" i="37"/>
  <c r="AA249" i="37"/>
  <c r="D7" i="37"/>
  <c r="V249" i="37"/>
  <c r="AO249" i="37"/>
  <c r="W7" i="37"/>
  <c r="W92" i="37"/>
  <c r="X7" i="37"/>
  <c r="X92" i="37"/>
  <c r="AP249" i="37"/>
  <c r="Y7" i="37"/>
  <c r="Y92" i="37"/>
  <c r="AQ249" i="37"/>
  <c r="S7" i="37"/>
  <c r="S92" i="37"/>
  <c r="AK249" i="37"/>
  <c r="AA7" i="37"/>
  <c r="AA92" i="37"/>
  <c r="AS249" i="37"/>
  <c r="AF7" i="37"/>
  <c r="AF92" i="37"/>
  <c r="AX249" i="37"/>
  <c r="G229" i="37"/>
  <c r="Q7" i="37"/>
  <c r="Q92" i="37"/>
  <c r="AI249" i="37"/>
  <c r="R7" i="37"/>
  <c r="R92" i="37"/>
  <c r="AJ249" i="37"/>
  <c r="T92" i="37"/>
  <c r="AL249" i="37"/>
  <c r="T7" i="37"/>
  <c r="J232" i="37"/>
  <c r="K232" i="37" s="1"/>
  <c r="L232" i="37" s="1"/>
  <c r="M232" i="37" s="1"/>
  <c r="N232" i="37" s="1"/>
  <c r="O232" i="37" s="1"/>
  <c r="P232" i="37" s="1"/>
  <c r="U92" i="37"/>
  <c r="AM249" i="37"/>
  <c r="U7" i="37"/>
  <c r="AW249" i="37"/>
  <c r="AE7" i="37"/>
  <c r="AE92" i="37"/>
  <c r="AC92" i="37"/>
  <c r="AU249" i="37"/>
  <c r="AC7" i="37"/>
  <c r="AB92" i="37"/>
  <c r="AB7" i="37"/>
  <c r="AT249" i="37"/>
  <c r="AN249" i="37"/>
  <c r="V7" i="37"/>
  <c r="V92" i="37"/>
  <c r="AV249" i="37"/>
  <c r="AD92" i="37"/>
  <c r="AD7" i="37"/>
  <c r="AI100" i="37"/>
  <c r="G5" i="37"/>
  <c r="O5" i="37"/>
  <c r="W5" i="37"/>
  <c r="AE5" i="37"/>
  <c r="AI68" i="37"/>
  <c r="E110" i="37"/>
  <c r="E230" i="37"/>
  <c r="E234" i="37"/>
  <c r="AI72" i="37"/>
  <c r="AH100" i="37"/>
  <c r="AI84" i="37"/>
  <c r="B5" i="37"/>
  <c r="J5" i="37"/>
  <c r="R5" i="37"/>
  <c r="Z5" i="37"/>
  <c r="AI50" i="37"/>
  <c r="AI54" i="37"/>
  <c r="AH50" i="37"/>
  <c r="AR249" i="37" l="1"/>
  <c r="Z92" i="37"/>
  <c r="AH249" i="37"/>
  <c r="P92" i="37"/>
  <c r="L7" i="37"/>
  <c r="AD249" i="37"/>
  <c r="F7" i="37"/>
  <c r="X249" i="37"/>
  <c r="U249" i="37"/>
  <c r="C92" i="37"/>
  <c r="O7" i="37"/>
  <c r="AG249" i="37"/>
  <c r="N92" i="37"/>
  <c r="N7" i="37"/>
  <c r="M92" i="37"/>
  <c r="M7" i="37"/>
  <c r="I7" i="37"/>
  <c r="K7" i="37"/>
  <c r="AC249" i="37"/>
  <c r="J92" i="37"/>
  <c r="AB249" i="37"/>
  <c r="E7" i="37"/>
  <c r="C244" i="37"/>
  <c r="AI89" i="37"/>
  <c r="W249" i="37"/>
  <c r="H92" i="37"/>
  <c r="Y249" i="37"/>
  <c r="G7" i="37"/>
  <c r="B244" i="37"/>
  <c r="AH89" i="37"/>
  <c r="H7" i="37"/>
  <c r="D270" i="37"/>
  <c r="F234" i="37"/>
  <c r="H229" i="37"/>
  <c r="B7" i="37"/>
  <c r="AI91" i="37"/>
  <c r="T249" i="37"/>
  <c r="AH91" i="37"/>
  <c r="F230" i="37"/>
  <c r="E235" i="37"/>
  <c r="K6" i="37" l="1"/>
  <c r="A7" i="37"/>
  <c r="AH92" i="37"/>
  <c r="AI92" i="37"/>
  <c r="G230" i="37"/>
  <c r="F235" i="37"/>
  <c r="I229" i="37"/>
  <c r="E270" i="37"/>
  <c r="G234" i="37"/>
  <c r="F110" i="37"/>
  <c r="J229" i="37" l="1"/>
  <c r="H230" i="37"/>
  <c r="G235" i="37"/>
  <c r="F270" i="37"/>
  <c r="H234" i="37"/>
  <c r="G110" i="37"/>
  <c r="I230" i="37" l="1"/>
  <c r="H235" i="37"/>
  <c r="K229" i="37"/>
  <c r="G270" i="37"/>
  <c r="I234" i="37"/>
  <c r="H110" i="37"/>
  <c r="H270" i="37" l="1"/>
  <c r="J234" i="37"/>
  <c r="I110" i="37"/>
  <c r="L229" i="37"/>
  <c r="J230" i="37"/>
  <c r="M229" i="37" l="1"/>
  <c r="K234" i="37"/>
  <c r="I270" i="37"/>
  <c r="J110" i="37"/>
  <c r="K230" i="37"/>
  <c r="L230" i="37" l="1"/>
  <c r="L234" i="37"/>
  <c r="J270" i="37"/>
  <c r="K110" i="37"/>
  <c r="N229" i="37"/>
  <c r="O229" i="37" l="1"/>
  <c r="K270" i="37"/>
  <c r="M234" i="37"/>
  <c r="L110" i="37"/>
  <c r="M230" i="37"/>
  <c r="N230" i="37" l="1"/>
  <c r="L270" i="37"/>
  <c r="N234" i="37"/>
  <c r="M110" i="37"/>
  <c r="P229" i="37"/>
  <c r="M270" i="37" l="1"/>
  <c r="O234" i="37"/>
  <c r="N110" i="37"/>
  <c r="O230" i="37"/>
  <c r="P230" i="37" l="1"/>
  <c r="N270" i="37"/>
  <c r="P234" i="37"/>
  <c r="O270" i="37" s="1"/>
  <c r="O110" i="37"/>
  <c r="AI110" i="37" l="1"/>
  <c r="AH110" i="37"/>
  <c r="X113" i="36" l="1"/>
  <c r="X49" i="36"/>
  <c r="U113" i="36"/>
  <c r="S49" i="36"/>
  <c r="R113" i="36"/>
  <c r="R49" i="36"/>
  <c r="R50" i="36"/>
  <c r="R54" i="36"/>
  <c r="R68" i="36"/>
  <c r="R72" i="36"/>
  <c r="R84" i="36"/>
  <c r="R100" i="36" s="1"/>
  <c r="R110" i="36"/>
  <c r="L50" i="36"/>
  <c r="K50" i="36"/>
  <c r="R89" i="36" l="1"/>
  <c r="R91" i="36" s="1"/>
  <c r="R92" i="36" s="1"/>
  <c r="J50" i="36"/>
  <c r="E50" i="36"/>
  <c r="AF274" i="36"/>
  <c r="AE274" i="36"/>
  <c r="AD274" i="36"/>
  <c r="AC274" i="36"/>
  <c r="AB274" i="36"/>
  <c r="AA274" i="36"/>
  <c r="Z274" i="36"/>
  <c r="Y274" i="36"/>
  <c r="X274" i="36"/>
  <c r="W274" i="36"/>
  <c r="V274" i="36"/>
  <c r="U274" i="36"/>
  <c r="T274" i="36"/>
  <c r="S274" i="36"/>
  <c r="R274" i="36"/>
  <c r="Q274" i="36"/>
  <c r="P274" i="36"/>
  <c r="O274" i="36"/>
  <c r="N274" i="36"/>
  <c r="M274" i="36"/>
  <c r="L274" i="36"/>
  <c r="K274" i="36"/>
  <c r="J274" i="36"/>
  <c r="I274" i="36"/>
  <c r="H274" i="36"/>
  <c r="G274" i="36"/>
  <c r="F274" i="36"/>
  <c r="E274" i="36"/>
  <c r="D274" i="36"/>
  <c r="C274" i="36"/>
  <c r="B274" i="36"/>
  <c r="A274" i="36"/>
  <c r="AF273" i="36"/>
  <c r="AE273" i="36"/>
  <c r="AD273" i="36"/>
  <c r="AC273" i="36"/>
  <c r="AB273" i="36"/>
  <c r="AA273" i="36"/>
  <c r="Z273" i="36"/>
  <c r="Y273" i="36"/>
  <c r="X273" i="36"/>
  <c r="W273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E273" i="36"/>
  <c r="D273" i="36"/>
  <c r="C273" i="36"/>
  <c r="B273" i="36"/>
  <c r="A273" i="36"/>
  <c r="AF272" i="36"/>
  <c r="AE272" i="36"/>
  <c r="AD272" i="36"/>
  <c r="AC272" i="36"/>
  <c r="AB272" i="36"/>
  <c r="AA272" i="36"/>
  <c r="Z272" i="36"/>
  <c r="Y272" i="36"/>
  <c r="X272" i="36"/>
  <c r="W272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E272" i="36"/>
  <c r="D272" i="36"/>
  <c r="C272" i="36"/>
  <c r="B272" i="36"/>
  <c r="A272" i="36"/>
  <c r="AF271" i="36"/>
  <c r="AE271" i="36"/>
  <c r="AD271" i="36"/>
  <c r="AC271" i="36"/>
  <c r="AB271" i="36"/>
  <c r="AA271" i="36"/>
  <c r="Z271" i="36"/>
  <c r="Y271" i="36"/>
  <c r="X271" i="36"/>
  <c r="W271" i="36"/>
  <c r="V271" i="36"/>
  <c r="U271" i="36"/>
  <c r="T271" i="36"/>
  <c r="S271" i="36"/>
  <c r="R271" i="36"/>
  <c r="Q271" i="36"/>
  <c r="P271" i="36"/>
  <c r="O271" i="36"/>
  <c r="N271" i="36"/>
  <c r="M271" i="36"/>
  <c r="L271" i="36"/>
  <c r="K271" i="36"/>
  <c r="J271" i="36"/>
  <c r="I271" i="36"/>
  <c r="H271" i="36"/>
  <c r="G271" i="36"/>
  <c r="F271" i="36"/>
  <c r="E271" i="36"/>
  <c r="D271" i="36"/>
  <c r="C271" i="36"/>
  <c r="B271" i="36"/>
  <c r="A271" i="36"/>
  <c r="AE270" i="36"/>
  <c r="AD270" i="36"/>
  <c r="AC270" i="36"/>
  <c r="AB270" i="36"/>
  <c r="AA270" i="36"/>
  <c r="Z270" i="36"/>
  <c r="Y270" i="36"/>
  <c r="X270" i="36"/>
  <c r="W270" i="36"/>
  <c r="V270" i="36"/>
  <c r="U270" i="36"/>
  <c r="T270" i="36"/>
  <c r="S270" i="36"/>
  <c r="R270" i="36"/>
  <c r="Q270" i="36"/>
  <c r="P270" i="36"/>
  <c r="B270" i="36"/>
  <c r="S245" i="36"/>
  <c r="AG235" i="36"/>
  <c r="AF235" i="36"/>
  <c r="AE235" i="36"/>
  <c r="AD235" i="36"/>
  <c r="AC235" i="36"/>
  <c r="AB235" i="36"/>
  <c r="AA235" i="36"/>
  <c r="Z235" i="36"/>
  <c r="Y235" i="36"/>
  <c r="X235" i="36"/>
  <c r="W235" i="36"/>
  <c r="V235" i="36"/>
  <c r="U235" i="36"/>
  <c r="T235" i="36"/>
  <c r="S235" i="36"/>
  <c r="R235" i="36"/>
  <c r="Q235" i="36"/>
  <c r="C235" i="36"/>
  <c r="E234" i="36"/>
  <c r="D270" i="36" s="1"/>
  <c r="D234" i="36"/>
  <c r="C270" i="36" s="1"/>
  <c r="B234" i="36"/>
  <c r="AF270" i="36" s="1"/>
  <c r="D233" i="36"/>
  <c r="E233" i="36" s="1"/>
  <c r="F233" i="36" s="1"/>
  <c r="G233" i="36" s="1"/>
  <c r="H233" i="36" s="1"/>
  <c r="I233" i="36" s="1"/>
  <c r="J233" i="36" s="1"/>
  <c r="K233" i="36" s="1"/>
  <c r="L233" i="36" s="1"/>
  <c r="M233" i="36" s="1"/>
  <c r="N233" i="36" s="1"/>
  <c r="O233" i="36" s="1"/>
  <c r="P233" i="36" s="1"/>
  <c r="B233" i="36"/>
  <c r="E232" i="36"/>
  <c r="F232" i="36" s="1"/>
  <c r="G232" i="36" s="1"/>
  <c r="H232" i="36" s="1"/>
  <c r="I232" i="36" s="1"/>
  <c r="D232" i="36"/>
  <c r="B232" i="36"/>
  <c r="G231" i="36"/>
  <c r="H231" i="36" s="1"/>
  <c r="F231" i="36"/>
  <c r="E231" i="36"/>
  <c r="D231" i="36"/>
  <c r="B231" i="36"/>
  <c r="E230" i="36"/>
  <c r="F230" i="36" s="1"/>
  <c r="G230" i="36" s="1"/>
  <c r="H230" i="36" s="1"/>
  <c r="I230" i="36" s="1"/>
  <c r="J230" i="36" s="1"/>
  <c r="K230" i="36" s="1"/>
  <c r="L230" i="36" s="1"/>
  <c r="M230" i="36" s="1"/>
  <c r="N230" i="36" s="1"/>
  <c r="O230" i="36" s="1"/>
  <c r="P230" i="36" s="1"/>
  <c r="D230" i="36"/>
  <c r="D235" i="36" s="1"/>
  <c r="B230" i="36"/>
  <c r="E229" i="36"/>
  <c r="F229" i="36" s="1"/>
  <c r="D229" i="36"/>
  <c r="B229" i="36"/>
  <c r="B110" i="36" s="1"/>
  <c r="AG227" i="36"/>
  <c r="AF227" i="36"/>
  <c r="AE227" i="36"/>
  <c r="AD227" i="36"/>
  <c r="AC227" i="36"/>
  <c r="AB227" i="36"/>
  <c r="AA227" i="36"/>
  <c r="Z227" i="36"/>
  <c r="Y227" i="36"/>
  <c r="X227" i="36"/>
  <c r="W227" i="36"/>
  <c r="V227" i="36"/>
  <c r="U227" i="36"/>
  <c r="T227" i="36"/>
  <c r="S227" i="36"/>
  <c r="R227" i="36"/>
  <c r="Q227" i="36"/>
  <c r="P227" i="36"/>
  <c r="O227" i="36"/>
  <c r="N227" i="36"/>
  <c r="M227" i="36"/>
  <c r="L227" i="36"/>
  <c r="K227" i="36"/>
  <c r="J227" i="36"/>
  <c r="I227" i="36"/>
  <c r="H227" i="36"/>
  <c r="G227" i="36"/>
  <c r="F227" i="36"/>
  <c r="E227" i="36"/>
  <c r="D227" i="36"/>
  <c r="C227" i="36"/>
  <c r="B227" i="36"/>
  <c r="AI120" i="36"/>
  <c r="AH120" i="36"/>
  <c r="AI119" i="36"/>
  <c r="AH119" i="36"/>
  <c r="AI118" i="36"/>
  <c r="AH118" i="36"/>
  <c r="AI117" i="36"/>
  <c r="AH117" i="36"/>
  <c r="AI116" i="36"/>
  <c r="AH116" i="36"/>
  <c r="AI115" i="36"/>
  <c r="AH115" i="36"/>
  <c r="AI114" i="36"/>
  <c r="AH114" i="36"/>
  <c r="AI113" i="36"/>
  <c r="AH113" i="36"/>
  <c r="AI112" i="36"/>
  <c r="AH112" i="36"/>
  <c r="AI111" i="36"/>
  <c r="AH111" i="36"/>
  <c r="AF110" i="36"/>
  <c r="AE110" i="36"/>
  <c r="AC110" i="36"/>
  <c r="AB110" i="36"/>
  <c r="AA110" i="36"/>
  <c r="Z110" i="36"/>
  <c r="Y110" i="36"/>
  <c r="X110" i="36"/>
  <c r="W110" i="36"/>
  <c r="V110" i="36"/>
  <c r="U110" i="36"/>
  <c r="T110" i="36"/>
  <c r="S110" i="36"/>
  <c r="Q110" i="36"/>
  <c r="E110" i="36"/>
  <c r="D110" i="36"/>
  <c r="C110" i="36"/>
  <c r="AI109" i="36"/>
  <c r="AH109" i="36"/>
  <c r="AI108" i="36"/>
  <c r="AH108" i="36"/>
  <c r="AI107" i="36"/>
  <c r="AH107" i="36"/>
  <c r="AI106" i="36"/>
  <c r="AH106" i="36"/>
  <c r="AI105" i="36"/>
  <c r="AH105" i="36"/>
  <c r="AI104" i="36"/>
  <c r="AH104" i="36"/>
  <c r="AI103" i="36"/>
  <c r="AH103" i="36"/>
  <c r="AI102" i="36"/>
  <c r="AH102" i="36"/>
  <c r="AI101" i="36"/>
  <c r="AH101" i="36"/>
  <c r="AI99" i="36"/>
  <c r="AH99" i="36"/>
  <c r="AI98" i="36"/>
  <c r="AH98" i="36"/>
  <c r="AI97" i="36"/>
  <c r="AH97" i="36"/>
  <c r="AI96" i="36"/>
  <c r="AH96" i="36"/>
  <c r="AI95" i="36"/>
  <c r="AH95" i="36"/>
  <c r="AI94" i="36"/>
  <c r="AH94" i="36"/>
  <c r="AI93" i="36"/>
  <c r="AH93" i="36"/>
  <c r="AI90" i="36"/>
  <c r="AH90" i="36"/>
  <c r="AI88" i="36"/>
  <c r="AH88" i="36"/>
  <c r="AG88" i="36"/>
  <c r="AI87" i="36"/>
  <c r="AH87" i="36"/>
  <c r="AI86" i="36"/>
  <c r="AH86" i="36"/>
  <c r="AI85" i="36"/>
  <c r="AH85" i="36"/>
  <c r="AN84" i="36"/>
  <c r="AG84" i="36"/>
  <c r="AF84" i="36"/>
  <c r="AF100" i="36" s="1"/>
  <c r="AE84" i="36"/>
  <c r="AE100" i="36" s="1"/>
  <c r="AD84" i="36"/>
  <c r="AD100" i="36" s="1"/>
  <c r="AC84" i="36"/>
  <c r="AC100" i="36" s="1"/>
  <c r="AB84" i="36"/>
  <c r="AB100" i="36" s="1"/>
  <c r="AA84" i="36"/>
  <c r="AA100" i="36" s="1"/>
  <c r="Z84" i="36"/>
  <c r="Z100" i="36" s="1"/>
  <c r="Y84" i="36"/>
  <c r="X5" i="36" s="1"/>
  <c r="X84" i="36"/>
  <c r="W5" i="36" s="1"/>
  <c r="W84" i="36"/>
  <c r="V5" i="36" s="1"/>
  <c r="V84" i="36"/>
  <c r="V100" i="36" s="1"/>
  <c r="U84" i="36"/>
  <c r="U100" i="36" s="1"/>
  <c r="T84" i="36"/>
  <c r="S5" i="36" s="1"/>
  <c r="S84" i="36"/>
  <c r="S100" i="36" s="1"/>
  <c r="Q84" i="36"/>
  <c r="Q100" i="36" s="1"/>
  <c r="P84" i="36"/>
  <c r="O5" i="36" s="1"/>
  <c r="O84" i="36"/>
  <c r="O100" i="36" s="1"/>
  <c r="N84" i="36"/>
  <c r="N100" i="36" s="1"/>
  <c r="M84" i="36"/>
  <c r="M100" i="36" s="1"/>
  <c r="L84" i="36"/>
  <c r="L100" i="36" s="1"/>
  <c r="K84" i="36"/>
  <c r="K100" i="36" s="1"/>
  <c r="J84" i="36"/>
  <c r="J100" i="36" s="1"/>
  <c r="I84" i="36"/>
  <c r="H5" i="36" s="1"/>
  <c r="H84" i="36"/>
  <c r="H100" i="36" s="1"/>
  <c r="G84" i="36"/>
  <c r="F5" i="36" s="1"/>
  <c r="F84" i="36"/>
  <c r="F100" i="36" s="1"/>
  <c r="E84" i="36"/>
  <c r="E100" i="36" s="1"/>
  <c r="D84" i="36"/>
  <c r="D100" i="36" s="1"/>
  <c r="C84" i="36"/>
  <c r="C100" i="36" s="1"/>
  <c r="B84" i="36"/>
  <c r="B100" i="36" s="1"/>
  <c r="AN83" i="36"/>
  <c r="AI83" i="36"/>
  <c r="AH83" i="36"/>
  <c r="AN82" i="36"/>
  <c r="AI82" i="36"/>
  <c r="AH82" i="36"/>
  <c r="AN81" i="36"/>
  <c r="AI81" i="36"/>
  <c r="AH81" i="36"/>
  <c r="AI80" i="36"/>
  <c r="AH80" i="36"/>
  <c r="AI79" i="36"/>
  <c r="AH79" i="36"/>
  <c r="AI78" i="36"/>
  <c r="AH78" i="36"/>
  <c r="AI77" i="36"/>
  <c r="AH77" i="36"/>
  <c r="AI76" i="36"/>
  <c r="AH76" i="36"/>
  <c r="AI75" i="36"/>
  <c r="AH75" i="36"/>
  <c r="AI74" i="36"/>
  <c r="AH74" i="36"/>
  <c r="AI73" i="36"/>
  <c r="AH73" i="36"/>
  <c r="AG72" i="36"/>
  <c r="AF72" i="36"/>
  <c r="AE72" i="36"/>
  <c r="AD72" i="36"/>
  <c r="AC72" i="36"/>
  <c r="AB72" i="36"/>
  <c r="AA72" i="36"/>
  <c r="Z72" i="36"/>
  <c r="Y72" i="36"/>
  <c r="X72" i="36"/>
  <c r="W72" i="36"/>
  <c r="V72" i="36"/>
  <c r="U72" i="36"/>
  <c r="T72" i="36"/>
  <c r="S72" i="36"/>
  <c r="Q72" i="36"/>
  <c r="P72" i="36"/>
  <c r="O72" i="36"/>
  <c r="N72" i="36"/>
  <c r="M72" i="36"/>
  <c r="L72" i="36"/>
  <c r="B72" i="36"/>
  <c r="AI71" i="36"/>
  <c r="AH71" i="36"/>
  <c r="AI70" i="36"/>
  <c r="AH70" i="36"/>
  <c r="AI69" i="36"/>
  <c r="AH69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B68" i="36"/>
  <c r="AI67" i="36"/>
  <c r="AH67" i="36"/>
  <c r="AG67" i="36"/>
  <c r="AG68" i="36" s="1"/>
  <c r="AG3" i="36" s="1"/>
  <c r="AI66" i="36"/>
  <c r="AH66" i="36"/>
  <c r="AI65" i="36"/>
  <c r="AH65" i="36"/>
  <c r="AI64" i="36"/>
  <c r="AH64" i="36"/>
  <c r="AI63" i="36"/>
  <c r="AH63" i="36"/>
  <c r="AI62" i="36"/>
  <c r="AH62" i="36"/>
  <c r="AI61" i="36"/>
  <c r="AH61" i="36"/>
  <c r="AI60" i="36"/>
  <c r="AH60" i="36"/>
  <c r="AI59" i="36"/>
  <c r="AH59" i="36"/>
  <c r="AI58" i="36"/>
  <c r="AH58" i="36"/>
  <c r="AI57" i="36"/>
  <c r="AH57" i="36"/>
  <c r="AI56" i="36"/>
  <c r="AH56" i="36"/>
  <c r="AI55" i="36"/>
  <c r="AH55" i="36"/>
  <c r="AG54" i="36"/>
  <c r="AE54" i="36"/>
  <c r="AD54" i="36"/>
  <c r="AB54" i="36"/>
  <c r="AA54" i="36"/>
  <c r="Z54" i="36"/>
  <c r="Y54" i="36"/>
  <c r="X54" i="36"/>
  <c r="W54" i="36"/>
  <c r="V54" i="36"/>
  <c r="U54" i="36"/>
  <c r="T54" i="36"/>
  <c r="S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B54" i="36"/>
  <c r="AI53" i="36"/>
  <c r="AH53" i="36"/>
  <c r="AI52" i="36"/>
  <c r="AH52" i="36"/>
  <c r="AI51" i="36"/>
  <c r="AH51" i="36"/>
  <c r="AG50" i="36"/>
  <c r="AE50" i="36"/>
  <c r="AD50" i="36"/>
  <c r="AB50" i="36"/>
  <c r="AA50" i="36"/>
  <c r="Z50" i="36"/>
  <c r="Y50" i="36"/>
  <c r="X50" i="36"/>
  <c r="W50" i="36"/>
  <c r="V50" i="36"/>
  <c r="U50" i="36"/>
  <c r="T50" i="36"/>
  <c r="S50" i="36"/>
  <c r="Q50" i="36"/>
  <c r="P50" i="36"/>
  <c r="O50" i="36"/>
  <c r="N50" i="36"/>
  <c r="M50" i="36"/>
  <c r="I50" i="36"/>
  <c r="H50" i="36"/>
  <c r="G50" i="36"/>
  <c r="F50" i="36"/>
  <c r="D50" i="36"/>
  <c r="C50" i="36"/>
  <c r="B50" i="36"/>
  <c r="AI49" i="36"/>
  <c r="AH49" i="36"/>
  <c r="AI48" i="36"/>
  <c r="AH48" i="36"/>
  <c r="AI47" i="36"/>
  <c r="AH47" i="36"/>
  <c r="AI46" i="36"/>
  <c r="AH46" i="36"/>
  <c r="AI45" i="36"/>
  <c r="AH45" i="36"/>
  <c r="AI44" i="36"/>
  <c r="AH44" i="36"/>
  <c r="AI43" i="36"/>
  <c r="AH43" i="36"/>
  <c r="AI42" i="36"/>
  <c r="AH42" i="36"/>
  <c r="AI41" i="36"/>
  <c r="AH41" i="36"/>
  <c r="AI40" i="36"/>
  <c r="AH40" i="36"/>
  <c r="AI39" i="36"/>
  <c r="AH39" i="36"/>
  <c r="AI38" i="36"/>
  <c r="AH38" i="36"/>
  <c r="AI37" i="36"/>
  <c r="AH37" i="36"/>
  <c r="AI36" i="36"/>
  <c r="AH36" i="36"/>
  <c r="AI35" i="36"/>
  <c r="AH35" i="36"/>
  <c r="AI34" i="36"/>
  <c r="AH34" i="36"/>
  <c r="AI33" i="36"/>
  <c r="AH33" i="36"/>
  <c r="AI32" i="36"/>
  <c r="AH32" i="36"/>
  <c r="AI31" i="36"/>
  <c r="AH31" i="36"/>
  <c r="AI30" i="36"/>
  <c r="AH30" i="36"/>
  <c r="AI29" i="36"/>
  <c r="AH29" i="36"/>
  <c r="AI28" i="36"/>
  <c r="AH28" i="36"/>
  <c r="AI27" i="36"/>
  <c r="AH27" i="36"/>
  <c r="AI26" i="36"/>
  <c r="AH26" i="36"/>
  <c r="AI25" i="36"/>
  <c r="AH25" i="36"/>
  <c r="AI24" i="36"/>
  <c r="AH24" i="36"/>
  <c r="AI23" i="36"/>
  <c r="AH23" i="36"/>
  <c r="AI22" i="36"/>
  <c r="AH22" i="36"/>
  <c r="AI21" i="36"/>
  <c r="AH21" i="36"/>
  <c r="AI20" i="36"/>
  <c r="AH20" i="36"/>
  <c r="AI19" i="36"/>
  <c r="AH19" i="36"/>
  <c r="AI18" i="36"/>
  <c r="AH18" i="36"/>
  <c r="AI17" i="36"/>
  <c r="AH17" i="36"/>
  <c r="AI16" i="36"/>
  <c r="AH16" i="36"/>
  <c r="AI15" i="36"/>
  <c r="AH15" i="36"/>
  <c r="AI14" i="36"/>
  <c r="AH14" i="36"/>
  <c r="AI13" i="36"/>
  <c r="AH13" i="36"/>
  <c r="AI12" i="36"/>
  <c r="AH12" i="36"/>
  <c r="AI11" i="36"/>
  <c r="AH11" i="36"/>
  <c r="AC5" i="36"/>
  <c r="Q5" i="36"/>
  <c r="AG4" i="36"/>
  <c r="K4" i="36"/>
  <c r="E4" i="36"/>
  <c r="H4" i="36" s="1"/>
  <c r="D246" i="36"/>
  <c r="AG2" i="36"/>
  <c r="AE5" i="36" l="1"/>
  <c r="AF89" i="36"/>
  <c r="AF91" i="36" s="1"/>
  <c r="AX249" i="36" s="1"/>
  <c r="AD5" i="36"/>
  <c r="AE89" i="36"/>
  <c r="AE91" i="36" s="1"/>
  <c r="AE92" i="36" s="1"/>
  <c r="AD89" i="36"/>
  <c r="AD91" i="36" s="1"/>
  <c r="AV249" i="36" s="1"/>
  <c r="AC89" i="36"/>
  <c r="AC91" i="36" s="1"/>
  <c r="AU249" i="36" s="1"/>
  <c r="AB5" i="36"/>
  <c r="AA89" i="36"/>
  <c r="AA91" i="36" s="1"/>
  <c r="AA92" i="36" s="1"/>
  <c r="AA5" i="36"/>
  <c r="AB89" i="36"/>
  <c r="AB91" i="36" s="1"/>
  <c r="AT249" i="36" s="1"/>
  <c r="Z5" i="36"/>
  <c r="Y5" i="36"/>
  <c r="Z89" i="36"/>
  <c r="Z91" i="36" s="1"/>
  <c r="Z7" i="36" s="1"/>
  <c r="Y89" i="36"/>
  <c r="Y91" i="36" s="1"/>
  <c r="X100" i="36"/>
  <c r="X89" i="36"/>
  <c r="X91" i="36" s="1"/>
  <c r="AP249" i="36" s="1"/>
  <c r="W100" i="36"/>
  <c r="W89" i="36"/>
  <c r="W91" i="36" s="1"/>
  <c r="AO249" i="36" s="1"/>
  <c r="U5" i="36"/>
  <c r="V89" i="36"/>
  <c r="V91" i="36" s="1"/>
  <c r="V92" i="36" s="1"/>
  <c r="T5" i="36"/>
  <c r="U89" i="36"/>
  <c r="U91" i="36" s="1"/>
  <c r="U92" i="36" s="1"/>
  <c r="T100" i="36"/>
  <c r="T89" i="36"/>
  <c r="T91" i="36" s="1"/>
  <c r="T92" i="36" s="1"/>
  <c r="R5" i="36"/>
  <c r="S89" i="36"/>
  <c r="S91" i="36" s="1"/>
  <c r="AK249" i="36" s="1"/>
  <c r="Q89" i="36"/>
  <c r="Q91" i="36" s="1"/>
  <c r="P100" i="36"/>
  <c r="P89" i="36"/>
  <c r="P91" i="36" s="1"/>
  <c r="P7" i="36" s="1"/>
  <c r="O89" i="36"/>
  <c r="O91" i="36" s="1"/>
  <c r="O92" i="36" s="1"/>
  <c r="N5" i="36"/>
  <c r="N89" i="36"/>
  <c r="N91" i="36" s="1"/>
  <c r="AF249" i="36" s="1"/>
  <c r="M5" i="36"/>
  <c r="AH72" i="36"/>
  <c r="M89" i="36"/>
  <c r="M91" i="36" s="1"/>
  <c r="M92" i="36" s="1"/>
  <c r="L89" i="36"/>
  <c r="L91" i="36" s="1"/>
  <c r="K5" i="36"/>
  <c r="K89" i="36"/>
  <c r="K91" i="36" s="1"/>
  <c r="J5" i="36"/>
  <c r="I5" i="36"/>
  <c r="J89" i="36"/>
  <c r="J91" i="36" s="1"/>
  <c r="J92" i="36" s="1"/>
  <c r="G5" i="36"/>
  <c r="I89" i="36"/>
  <c r="I91" i="36" s="1"/>
  <c r="G100" i="36"/>
  <c r="G89" i="36"/>
  <c r="G91" i="36" s="1"/>
  <c r="E5" i="36"/>
  <c r="H89" i="36"/>
  <c r="H91" i="36" s="1"/>
  <c r="H7" i="36" s="1"/>
  <c r="F89" i="36"/>
  <c r="F91" i="36" s="1"/>
  <c r="F7" i="36" s="1"/>
  <c r="E89" i="36"/>
  <c r="E91" i="36" s="1"/>
  <c r="W249" i="36" s="1"/>
  <c r="C5" i="36"/>
  <c r="D89" i="36"/>
  <c r="D91" i="36" s="1"/>
  <c r="D92" i="36" s="1"/>
  <c r="B5" i="36"/>
  <c r="AH68" i="36"/>
  <c r="C89" i="36"/>
  <c r="C91" i="36" s="1"/>
  <c r="C7" i="36" s="1"/>
  <c r="AH54" i="36"/>
  <c r="AF5" i="36"/>
  <c r="AI68" i="36"/>
  <c r="B89" i="36"/>
  <c r="AI54" i="36"/>
  <c r="S246" i="36"/>
  <c r="E92" i="36"/>
  <c r="E7" i="36"/>
  <c r="AG6" i="36"/>
  <c r="G229" i="36"/>
  <c r="K7" i="36"/>
  <c r="K92" i="36"/>
  <c r="AC249" i="36"/>
  <c r="AN249" i="36"/>
  <c r="V7" i="36"/>
  <c r="AD92" i="36"/>
  <c r="AF7" i="36"/>
  <c r="L92" i="36"/>
  <c r="AD249" i="36"/>
  <c r="L7" i="36"/>
  <c r="Y249" i="36"/>
  <c r="G7" i="36"/>
  <c r="G92" i="36"/>
  <c r="AW249" i="36"/>
  <c r="AG91" i="36"/>
  <c r="J232" i="36"/>
  <c r="K232" i="36" s="1"/>
  <c r="L232" i="36" s="1"/>
  <c r="M232" i="36" s="1"/>
  <c r="N232" i="36" s="1"/>
  <c r="O232" i="36" s="1"/>
  <c r="P232" i="36" s="1"/>
  <c r="I7" i="36"/>
  <c r="I92" i="36"/>
  <c r="AA249" i="36"/>
  <c r="Q7" i="36"/>
  <c r="AI249" i="36"/>
  <c r="Q92" i="36"/>
  <c r="Y7" i="36"/>
  <c r="Y92" i="36"/>
  <c r="AQ249" i="36"/>
  <c r="AG89" i="36"/>
  <c r="J7" i="36"/>
  <c r="R7" i="36"/>
  <c r="AJ249" i="36"/>
  <c r="AI72" i="36"/>
  <c r="E235" i="36"/>
  <c r="P5" i="36"/>
  <c r="AH84" i="36"/>
  <c r="I100" i="36"/>
  <c r="Y100" i="36"/>
  <c r="F234" i="36"/>
  <c r="F235" i="36" s="1"/>
  <c r="AH50" i="36"/>
  <c r="AI84" i="36"/>
  <c r="AI50" i="36"/>
  <c r="B235" i="36"/>
  <c r="D5" i="36"/>
  <c r="L5" i="36"/>
  <c r="AC7" i="36" l="1"/>
  <c r="AE7" i="36"/>
  <c r="AF92" i="36"/>
  <c r="AS249" i="36"/>
  <c r="AR249" i="36"/>
  <c r="AA7" i="36"/>
  <c r="AD7" i="36"/>
  <c r="AC92" i="36"/>
  <c r="AB92" i="36"/>
  <c r="AB7" i="36"/>
  <c r="X92" i="36"/>
  <c r="Z92" i="36"/>
  <c r="T7" i="36"/>
  <c r="W7" i="36"/>
  <c r="W92" i="36"/>
  <c r="AL249" i="36"/>
  <c r="X7" i="36"/>
  <c r="S7" i="36"/>
  <c r="S92" i="36"/>
  <c r="AM249" i="36"/>
  <c r="U7" i="36"/>
  <c r="M7" i="36"/>
  <c r="AI100" i="36"/>
  <c r="AH249" i="36"/>
  <c r="P92" i="36"/>
  <c r="AG249" i="36"/>
  <c r="O7" i="36"/>
  <c r="AE249" i="36"/>
  <c r="N92" i="36"/>
  <c r="B244" i="36"/>
  <c r="N7" i="36"/>
  <c r="AB249" i="36"/>
  <c r="C244" i="36"/>
  <c r="Z249" i="36"/>
  <c r="H92" i="36"/>
  <c r="D7" i="36"/>
  <c r="V249" i="36"/>
  <c r="X249" i="36"/>
  <c r="F92" i="36"/>
  <c r="AI89" i="36"/>
  <c r="U249" i="36"/>
  <c r="C92" i="36"/>
  <c r="B91" i="36"/>
  <c r="AH91" i="36" s="1"/>
  <c r="AH89" i="36"/>
  <c r="AH100" i="36"/>
  <c r="H229" i="36"/>
  <c r="E270" i="36"/>
  <c r="G234" i="36"/>
  <c r="F110" i="36"/>
  <c r="K6" i="36" l="1"/>
  <c r="T249" i="36"/>
  <c r="AI91" i="36"/>
  <c r="B92" i="36"/>
  <c r="AH92" i="36" s="1"/>
  <c r="B7" i="36"/>
  <c r="A7" i="36" s="1"/>
  <c r="F270" i="36"/>
  <c r="H234" i="36"/>
  <c r="G235" i="36"/>
  <c r="G110" i="36"/>
  <c r="I229" i="36"/>
  <c r="H110" i="36"/>
  <c r="H235" i="36"/>
  <c r="AI92" i="36" l="1"/>
  <c r="J229" i="36"/>
  <c r="G270" i="36"/>
  <c r="I234" i="36"/>
  <c r="H270" i="36" l="1"/>
  <c r="J234" i="36"/>
  <c r="J110" i="36"/>
  <c r="K229" i="36"/>
  <c r="I110" i="36"/>
  <c r="L229" i="36" l="1"/>
  <c r="K234" i="36"/>
  <c r="I270" i="36"/>
  <c r="M229" i="36" l="1"/>
  <c r="J270" i="36"/>
  <c r="L234" i="36"/>
  <c r="K110" i="36"/>
  <c r="M234" i="36" l="1"/>
  <c r="K270" i="36"/>
  <c r="L110" i="36"/>
  <c r="M110" i="36"/>
  <c r="N229" i="36"/>
  <c r="O229" i="36" l="1"/>
  <c r="L270" i="36"/>
  <c r="N234" i="36"/>
  <c r="M270" i="36" l="1"/>
  <c r="O234" i="36"/>
  <c r="N110" i="36"/>
  <c r="P229" i="36"/>
  <c r="O110" i="36"/>
  <c r="AH110" i="36" l="1"/>
  <c r="AI110" i="36"/>
  <c r="N270" i="36"/>
  <c r="P234" i="36"/>
  <c r="O270" i="36" s="1"/>
  <c r="AF274" i="6" l="1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C270" i="6"/>
  <c r="B270" i="6"/>
  <c r="S24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C235" i="6"/>
  <c r="E234" i="6"/>
  <c r="F234" i="6" s="1"/>
  <c r="D234" i="6"/>
  <c r="B234" i="6"/>
  <c r="AF270" i="6" s="1"/>
  <c r="D233" i="6"/>
  <c r="E233" i="6" s="1"/>
  <c r="F233" i="6" s="1"/>
  <c r="G233" i="6" s="1"/>
  <c r="H233" i="6" s="1"/>
  <c r="I233" i="6" s="1"/>
  <c r="J233" i="6" s="1"/>
  <c r="K233" i="6" s="1"/>
  <c r="L233" i="6" s="1"/>
  <c r="M233" i="6" s="1"/>
  <c r="N233" i="6" s="1"/>
  <c r="O233" i="6" s="1"/>
  <c r="P233" i="6" s="1"/>
  <c r="B233" i="6"/>
  <c r="D232" i="6"/>
  <c r="E232" i="6" s="1"/>
  <c r="F232" i="6" s="1"/>
  <c r="G232" i="6" s="1"/>
  <c r="H232" i="6" s="1"/>
  <c r="I232" i="6" s="1"/>
  <c r="B232" i="6"/>
  <c r="E231" i="6"/>
  <c r="F231" i="6" s="1"/>
  <c r="G231" i="6" s="1"/>
  <c r="H231" i="6" s="1"/>
  <c r="D231" i="6"/>
  <c r="B231" i="6"/>
  <c r="E230" i="6"/>
  <c r="F230" i="6" s="1"/>
  <c r="G230" i="6" s="1"/>
  <c r="H230" i="6" s="1"/>
  <c r="I230" i="6" s="1"/>
  <c r="J230" i="6" s="1"/>
  <c r="K230" i="6" s="1"/>
  <c r="L230" i="6" s="1"/>
  <c r="M230" i="6" s="1"/>
  <c r="N230" i="6" s="1"/>
  <c r="O230" i="6" s="1"/>
  <c r="P230" i="6" s="1"/>
  <c r="D230" i="6"/>
  <c r="B230" i="6"/>
  <c r="D229" i="6"/>
  <c r="D235" i="6" s="1"/>
  <c r="B229" i="6"/>
  <c r="B110" i="6" s="1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I120" i="6"/>
  <c r="AH120" i="6"/>
  <c r="AI119" i="6"/>
  <c r="AH119" i="6"/>
  <c r="AI118" i="6"/>
  <c r="AH118" i="6"/>
  <c r="AI117" i="6"/>
  <c r="AH117" i="6"/>
  <c r="AI116" i="6"/>
  <c r="AH116" i="6"/>
  <c r="AI115" i="6"/>
  <c r="AH115" i="6"/>
  <c r="AI114" i="6"/>
  <c r="AH114" i="6"/>
  <c r="AI113" i="6"/>
  <c r="AH113" i="6"/>
  <c r="AI112" i="6"/>
  <c r="AH112" i="6"/>
  <c r="AI111" i="6"/>
  <c r="AH111" i="6"/>
  <c r="AF110" i="6"/>
  <c r="AE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C110" i="6"/>
  <c r="AI109" i="6"/>
  <c r="AH109" i="6"/>
  <c r="AI108" i="6"/>
  <c r="AH108" i="6"/>
  <c r="AI107" i="6"/>
  <c r="AH107" i="6"/>
  <c r="AI106" i="6"/>
  <c r="AH106" i="6"/>
  <c r="AI105" i="6"/>
  <c r="AH105" i="6"/>
  <c r="AI104" i="6"/>
  <c r="AH104" i="6"/>
  <c r="AI103" i="6"/>
  <c r="AH103" i="6"/>
  <c r="AI102" i="6"/>
  <c r="AH102" i="6"/>
  <c r="AI101" i="6"/>
  <c r="AH101" i="6"/>
  <c r="AF100" i="6"/>
  <c r="X100" i="6"/>
  <c r="P100" i="6"/>
  <c r="H100" i="6"/>
  <c r="AI99" i="6"/>
  <c r="AH99" i="6"/>
  <c r="AI98" i="6"/>
  <c r="AH98" i="6"/>
  <c r="AI97" i="6"/>
  <c r="AH97" i="6"/>
  <c r="AI96" i="6"/>
  <c r="AH96" i="6"/>
  <c r="AI95" i="6"/>
  <c r="AH95" i="6"/>
  <c r="AI94" i="6"/>
  <c r="AH94" i="6"/>
  <c r="AI93" i="6"/>
  <c r="AH93" i="6"/>
  <c r="AI90" i="6"/>
  <c r="AH90" i="6"/>
  <c r="AD89" i="6"/>
  <c r="AD91" i="6" s="1"/>
  <c r="AC89" i="6"/>
  <c r="AC91" i="6" s="1"/>
  <c r="V89" i="6"/>
  <c r="V91" i="6" s="1"/>
  <c r="U89" i="6"/>
  <c r="U91" i="6" s="1"/>
  <c r="N89" i="6"/>
  <c r="N91" i="6" s="1"/>
  <c r="M89" i="6"/>
  <c r="M91" i="6" s="1"/>
  <c r="F89" i="6"/>
  <c r="F91" i="6" s="1"/>
  <c r="E89" i="6"/>
  <c r="E91" i="6" s="1"/>
  <c r="AI88" i="6"/>
  <c r="AH88" i="6"/>
  <c r="AG88" i="6"/>
  <c r="AI87" i="6"/>
  <c r="AH87" i="6"/>
  <c r="AI86" i="6"/>
  <c r="AH86" i="6"/>
  <c r="AI85" i="6"/>
  <c r="AH85" i="6"/>
  <c r="AG84" i="6"/>
  <c r="AF84" i="6"/>
  <c r="AE84" i="6"/>
  <c r="AE100" i="6" s="1"/>
  <c r="AD84" i="6"/>
  <c r="AD100" i="6" s="1"/>
  <c r="AC84" i="6"/>
  <c r="AC100" i="6" s="1"/>
  <c r="AB84" i="6"/>
  <c r="AB100" i="6" s="1"/>
  <c r="AA84" i="6"/>
  <c r="AA100" i="6" s="1"/>
  <c r="Z84" i="6"/>
  <c r="Z100" i="6" s="1"/>
  <c r="Y84" i="6"/>
  <c r="Y100" i="6" s="1"/>
  <c r="X84" i="6"/>
  <c r="W84" i="6"/>
  <c r="W100" i="6" s="1"/>
  <c r="V84" i="6"/>
  <c r="V100" i="6" s="1"/>
  <c r="U84" i="6"/>
  <c r="U100" i="6" s="1"/>
  <c r="T84" i="6"/>
  <c r="T100" i="6" s="1"/>
  <c r="S84" i="6"/>
  <c r="S100" i="6" s="1"/>
  <c r="R84" i="6"/>
  <c r="R100" i="6" s="1"/>
  <c r="Q84" i="6"/>
  <c r="P5" i="6" s="1"/>
  <c r="P84" i="6"/>
  <c r="O84" i="6"/>
  <c r="O100" i="6" s="1"/>
  <c r="N84" i="6"/>
  <c r="N100" i="6" s="1"/>
  <c r="M84" i="6"/>
  <c r="M100" i="6" s="1"/>
  <c r="L84" i="6"/>
  <c r="L100" i="6" s="1"/>
  <c r="K84" i="6"/>
  <c r="K100" i="6" s="1"/>
  <c r="J84" i="6"/>
  <c r="J100" i="6" s="1"/>
  <c r="I84" i="6"/>
  <c r="H5" i="6" s="1"/>
  <c r="H84" i="6"/>
  <c r="G84" i="6"/>
  <c r="G100" i="6" s="1"/>
  <c r="F84" i="6"/>
  <c r="F100" i="6" s="1"/>
  <c r="E84" i="6"/>
  <c r="E100" i="6" s="1"/>
  <c r="D84" i="6"/>
  <c r="D100" i="6" s="1"/>
  <c r="C84" i="6"/>
  <c r="C100" i="6" s="1"/>
  <c r="B84" i="6"/>
  <c r="AH84" i="6" s="1"/>
  <c r="AI83" i="6"/>
  <c r="AH83" i="6"/>
  <c r="AI82" i="6"/>
  <c r="AH82" i="6"/>
  <c r="AI81" i="6"/>
  <c r="AH81" i="6"/>
  <c r="AI80" i="6"/>
  <c r="AH80" i="6"/>
  <c r="AI79" i="6"/>
  <c r="AH79" i="6"/>
  <c r="AI78" i="6"/>
  <c r="AH78" i="6"/>
  <c r="AI77" i="6"/>
  <c r="AH77" i="6"/>
  <c r="AI76" i="6"/>
  <c r="AH76" i="6"/>
  <c r="AI75" i="6"/>
  <c r="AH75" i="6"/>
  <c r="AI74" i="6"/>
  <c r="AH74" i="6"/>
  <c r="AI73" i="6"/>
  <c r="AH73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B72" i="6"/>
  <c r="AH72" i="6" s="1"/>
  <c r="AI71" i="6"/>
  <c r="AH71" i="6"/>
  <c r="AI70" i="6"/>
  <c r="AH70" i="6"/>
  <c r="AI69" i="6"/>
  <c r="AH69" i="6"/>
  <c r="AI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8" i="6" s="1"/>
  <c r="AI67" i="6"/>
  <c r="AH67" i="6"/>
  <c r="AG67" i="6"/>
  <c r="AG68" i="6" s="1"/>
  <c r="AG3" i="6" s="1"/>
  <c r="AI66" i="6"/>
  <c r="AH66" i="6"/>
  <c r="AI65" i="6"/>
  <c r="AH65" i="6"/>
  <c r="AI64" i="6"/>
  <c r="AH64" i="6"/>
  <c r="AI63" i="6"/>
  <c r="AH63" i="6"/>
  <c r="AI62" i="6"/>
  <c r="AH62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I54" i="6" s="1"/>
  <c r="AI53" i="6"/>
  <c r="AH53" i="6"/>
  <c r="AI52" i="6"/>
  <c r="AH52" i="6"/>
  <c r="AI51" i="6"/>
  <c r="AH51" i="6"/>
  <c r="AG50" i="6"/>
  <c r="AF50" i="6"/>
  <c r="AF89" i="6" s="1"/>
  <c r="AF91" i="6" s="1"/>
  <c r="AE50" i="6"/>
  <c r="AE89" i="6" s="1"/>
  <c r="AE91" i="6" s="1"/>
  <c r="AD50" i="6"/>
  <c r="AC50" i="6"/>
  <c r="AB50" i="6"/>
  <c r="AB89" i="6" s="1"/>
  <c r="AB91" i="6" s="1"/>
  <c r="AA50" i="6"/>
  <c r="AA89" i="6" s="1"/>
  <c r="AA91" i="6" s="1"/>
  <c r="Z50" i="6"/>
  <c r="Z89" i="6" s="1"/>
  <c r="Z91" i="6" s="1"/>
  <c r="Y50" i="6"/>
  <c r="Y89" i="6" s="1"/>
  <c r="Y91" i="6" s="1"/>
  <c r="X50" i="6"/>
  <c r="X89" i="6" s="1"/>
  <c r="X91" i="6" s="1"/>
  <c r="W50" i="6"/>
  <c r="W89" i="6" s="1"/>
  <c r="W91" i="6" s="1"/>
  <c r="V50" i="6"/>
  <c r="U50" i="6"/>
  <c r="T50" i="6"/>
  <c r="T89" i="6" s="1"/>
  <c r="T91" i="6" s="1"/>
  <c r="S50" i="6"/>
  <c r="S89" i="6" s="1"/>
  <c r="S91" i="6" s="1"/>
  <c r="R50" i="6"/>
  <c r="R89" i="6" s="1"/>
  <c r="R91" i="6" s="1"/>
  <c r="Q50" i="6"/>
  <c r="Q89" i="6" s="1"/>
  <c r="Q91" i="6" s="1"/>
  <c r="P50" i="6"/>
  <c r="P89" i="6" s="1"/>
  <c r="P91" i="6" s="1"/>
  <c r="O50" i="6"/>
  <c r="O89" i="6" s="1"/>
  <c r="O91" i="6" s="1"/>
  <c r="N50" i="6"/>
  <c r="M50" i="6"/>
  <c r="L50" i="6"/>
  <c r="L89" i="6" s="1"/>
  <c r="L91" i="6" s="1"/>
  <c r="K50" i="6"/>
  <c r="K89" i="6" s="1"/>
  <c r="K91" i="6" s="1"/>
  <c r="J50" i="6"/>
  <c r="J89" i="6" s="1"/>
  <c r="J91" i="6" s="1"/>
  <c r="I50" i="6"/>
  <c r="I89" i="6" s="1"/>
  <c r="I91" i="6" s="1"/>
  <c r="H50" i="6"/>
  <c r="H89" i="6" s="1"/>
  <c r="H91" i="6" s="1"/>
  <c r="G50" i="6"/>
  <c r="G89" i="6" s="1"/>
  <c r="G91" i="6" s="1"/>
  <c r="F50" i="6"/>
  <c r="E50" i="6"/>
  <c r="D50" i="6"/>
  <c r="D89" i="6" s="1"/>
  <c r="D91" i="6" s="1"/>
  <c r="C50" i="6"/>
  <c r="C89" i="6" s="1"/>
  <c r="C91" i="6" s="1"/>
  <c r="B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E5" i="6"/>
  <c r="AD5" i="6"/>
  <c r="AC5" i="6"/>
  <c r="AB5" i="6"/>
  <c r="AA5" i="6"/>
  <c r="Z5" i="6"/>
  <c r="W5" i="6"/>
  <c r="V5" i="6"/>
  <c r="U5" i="6"/>
  <c r="T5" i="6"/>
  <c r="S5" i="6"/>
  <c r="R5" i="6"/>
  <c r="O5" i="6"/>
  <c r="N5" i="6"/>
  <c r="M5" i="6"/>
  <c r="L5" i="6"/>
  <c r="K5" i="6"/>
  <c r="J5" i="6"/>
  <c r="G5" i="6"/>
  <c r="F5" i="6"/>
  <c r="E5" i="6"/>
  <c r="D5" i="6"/>
  <c r="C5" i="6"/>
  <c r="B5" i="6"/>
  <c r="AG4" i="6"/>
  <c r="K4" i="6"/>
  <c r="H4" i="6"/>
  <c r="D246" i="6"/>
  <c r="B89" i="6" l="1"/>
  <c r="AI89" i="6" s="1"/>
  <c r="AF5" i="6"/>
  <c r="S246" i="6"/>
  <c r="AH89" i="6"/>
  <c r="B91" i="6"/>
  <c r="B92" i="6" s="1"/>
  <c r="J7" i="6"/>
  <c r="AB249" i="6"/>
  <c r="R7" i="6"/>
  <c r="AJ249" i="6"/>
  <c r="Z7" i="6"/>
  <c r="AR249" i="6"/>
  <c r="AV249" i="6"/>
  <c r="AD7" i="6"/>
  <c r="K7" i="6"/>
  <c r="AC249" i="6"/>
  <c r="E270" i="6"/>
  <c r="G234" i="6"/>
  <c r="AT249" i="6"/>
  <c r="AB7" i="6"/>
  <c r="X249" i="6"/>
  <c r="F7" i="6"/>
  <c r="C7" i="6"/>
  <c r="U249" i="6"/>
  <c r="V249" i="6"/>
  <c r="D7" i="6"/>
  <c r="AF249" i="6"/>
  <c r="N7" i="6"/>
  <c r="J232" i="6"/>
  <c r="K232" i="6" s="1"/>
  <c r="L232" i="6" s="1"/>
  <c r="M232" i="6" s="1"/>
  <c r="N232" i="6" s="1"/>
  <c r="O232" i="6" s="1"/>
  <c r="P232" i="6" s="1"/>
  <c r="AA7" i="6"/>
  <c r="AS249" i="6"/>
  <c r="AD249" i="6"/>
  <c r="L7" i="6"/>
  <c r="AE249" i="6"/>
  <c r="M7" i="6"/>
  <c r="Y249" i="6"/>
  <c r="C244" i="6"/>
  <c r="B244" i="6"/>
  <c r="G7" i="6"/>
  <c r="AG249" i="6"/>
  <c r="O7" i="6"/>
  <c r="AO249" i="6"/>
  <c r="W7" i="6"/>
  <c r="AW249" i="6"/>
  <c r="AE7" i="6"/>
  <c r="AM249" i="6"/>
  <c r="U7" i="6"/>
  <c r="W249" i="6"/>
  <c r="E7" i="6"/>
  <c r="P7" i="6"/>
  <c r="AH249" i="6"/>
  <c r="AF7" i="6"/>
  <c r="AX249" i="6"/>
  <c r="AG91" i="6"/>
  <c r="AN249" i="6"/>
  <c r="V7" i="6"/>
  <c r="S7" i="6"/>
  <c r="AK249" i="6"/>
  <c r="AL249" i="6"/>
  <c r="T7" i="6"/>
  <c r="H7" i="6"/>
  <c r="Z249" i="6"/>
  <c r="X7" i="6"/>
  <c r="AP249" i="6"/>
  <c r="I7" i="6"/>
  <c r="AA249" i="6"/>
  <c r="AI249" i="6"/>
  <c r="Q7" i="6"/>
  <c r="Y7" i="6"/>
  <c r="AQ249" i="6"/>
  <c r="AG89" i="6"/>
  <c r="AU249" i="6"/>
  <c r="AC7" i="6"/>
  <c r="X5" i="6"/>
  <c r="AI72" i="6"/>
  <c r="D110" i="6"/>
  <c r="I100" i="6"/>
  <c r="I5" i="6"/>
  <c r="Q5" i="6"/>
  <c r="Y5" i="6"/>
  <c r="AH50" i="6"/>
  <c r="AH54" i="6"/>
  <c r="AI84" i="6"/>
  <c r="B100" i="6"/>
  <c r="E229" i="6"/>
  <c r="D270" i="6"/>
  <c r="Q100" i="6"/>
  <c r="AI50" i="6"/>
  <c r="AG2" i="6"/>
  <c r="AG6" i="6" s="1"/>
  <c r="B235" i="6"/>
  <c r="F270" i="6" l="1"/>
  <c r="H234" i="6"/>
  <c r="E110" i="6"/>
  <c r="F229" i="6"/>
  <c r="E235" i="6"/>
  <c r="K6" i="6"/>
  <c r="B7" i="6"/>
  <c r="A7" i="6" s="1"/>
  <c r="AH91" i="6"/>
  <c r="T249" i="6"/>
  <c r="AI91" i="6"/>
  <c r="AH100" i="6"/>
  <c r="AI100" i="6"/>
  <c r="G270" i="6" l="1"/>
  <c r="I234" i="6"/>
  <c r="AI92" i="6"/>
  <c r="AH92" i="6"/>
  <c r="F110" i="6"/>
  <c r="F235" i="6"/>
  <c r="G229" i="6"/>
  <c r="H270" i="6" l="1"/>
  <c r="J234" i="6"/>
  <c r="H229" i="6"/>
  <c r="G235" i="6"/>
  <c r="G110" i="6"/>
  <c r="I229" i="6" l="1"/>
  <c r="H110" i="6"/>
  <c r="H235" i="6"/>
  <c r="K234" i="6"/>
  <c r="I270" i="6"/>
  <c r="J270" i="6" l="1"/>
  <c r="L234" i="6"/>
  <c r="I110" i="6"/>
  <c r="J229" i="6"/>
  <c r="J110" i="6" l="1"/>
  <c r="K229" i="6"/>
  <c r="K270" i="6"/>
  <c r="M234" i="6"/>
  <c r="K110" i="6" l="1"/>
  <c r="L229" i="6"/>
  <c r="N234" i="6"/>
  <c r="L270" i="6"/>
  <c r="M229" i="6" l="1"/>
  <c r="L110" i="6"/>
  <c r="M270" i="6"/>
  <c r="O234" i="6"/>
  <c r="N270" i="6" l="1"/>
  <c r="P234" i="6"/>
  <c r="O270" i="6" s="1"/>
  <c r="N229" i="6"/>
  <c r="M110" i="6"/>
  <c r="O229" i="6" l="1"/>
  <c r="N110" i="6"/>
  <c r="P229" i="6" l="1"/>
  <c r="O110" i="6"/>
  <c r="AI110" i="6" l="1"/>
  <c r="AH110" i="6"/>
  <c r="P235" i="54" l="1"/>
  <c r="P231" i="54"/>
  <c r="K235" i="55"/>
  <c r="P235" i="43"/>
  <c r="P231" i="43"/>
  <c r="P235" i="36"/>
  <c r="P231" i="36"/>
  <c r="L235" i="56"/>
  <c r="K235" i="49"/>
  <c r="N235" i="46"/>
  <c r="N235" i="48"/>
  <c r="J235" i="40"/>
  <c r="L235" i="57"/>
  <c r="N235" i="47"/>
  <c r="O231" i="43"/>
  <c r="O235" i="43"/>
  <c r="J235" i="67"/>
  <c r="P235" i="57"/>
  <c r="P231" i="57"/>
  <c r="O235" i="62"/>
  <c r="N235" i="45"/>
  <c r="P235" i="50"/>
  <c r="P231" i="50"/>
  <c r="P235" i="61"/>
  <c r="P231" i="61"/>
  <c r="K235" i="64"/>
  <c r="O231" i="61"/>
  <c r="O235" i="61"/>
  <c r="L235" i="38"/>
  <c r="K235" i="44"/>
  <c r="K235" i="58"/>
  <c r="M235" i="53"/>
  <c r="P235" i="64"/>
  <c r="P231" i="64"/>
  <c r="N235" i="54"/>
  <c r="M235" i="47"/>
  <c r="K235" i="56"/>
  <c r="M235" i="45"/>
  <c r="N231" i="61"/>
  <c r="N235" i="61"/>
  <c r="N235" i="62"/>
  <c r="J235" i="43"/>
  <c r="N235" i="67"/>
  <c r="M235" i="60"/>
  <c r="N231" i="62"/>
  <c r="O231" i="62"/>
  <c r="P231" i="62"/>
  <c r="P235" i="62"/>
  <c r="L235" i="46"/>
  <c r="L235" i="54"/>
  <c r="O235" i="37"/>
  <c r="K235" i="40"/>
  <c r="K235" i="38"/>
  <c r="P235" i="51"/>
  <c r="P231" i="51"/>
  <c r="J235" i="44"/>
  <c r="J235" i="53"/>
  <c r="K235" i="54"/>
  <c r="J235" i="48"/>
  <c r="K235" i="6"/>
  <c r="L235" i="45"/>
  <c r="J235" i="36"/>
  <c r="K235" i="48"/>
  <c r="M231" i="62"/>
  <c r="M235" i="62"/>
  <c r="N235" i="53"/>
  <c r="L235" i="52"/>
  <c r="L235" i="48"/>
  <c r="M235" i="37"/>
  <c r="P235" i="55"/>
  <c r="P231" i="55"/>
  <c r="J235" i="56"/>
  <c r="M235" i="58"/>
  <c r="O235" i="66"/>
  <c r="P235" i="39"/>
  <c r="P231" i="39"/>
  <c r="O235" i="53"/>
  <c r="M235" i="6"/>
  <c r="P235" i="44"/>
  <c r="P231" i="44"/>
  <c r="N235" i="37"/>
  <c r="M235" i="54"/>
  <c r="M231" i="37"/>
  <c r="N231" i="37"/>
  <c r="O231" i="37"/>
  <c r="P231" i="37"/>
  <c r="P235" i="37"/>
  <c r="K235" i="60"/>
  <c r="M235" i="38"/>
  <c r="J235" i="58"/>
  <c r="N235" i="36"/>
  <c r="O231" i="55"/>
  <c r="O235" i="55"/>
  <c r="K235" i="37"/>
  <c r="L235" i="61"/>
  <c r="O231" i="51"/>
  <c r="O235" i="51"/>
  <c r="J235" i="50"/>
  <c r="L231" i="62"/>
  <c r="L235" i="62"/>
  <c r="N235" i="66"/>
  <c r="J235" i="45"/>
  <c r="O231" i="64"/>
  <c r="O235" i="64"/>
  <c r="M235" i="44"/>
  <c r="J235" i="6"/>
  <c r="K235" i="45"/>
  <c r="K235" i="46"/>
  <c r="K231" i="54"/>
  <c r="L231" i="54"/>
  <c r="M231" i="54"/>
  <c r="N231" i="54"/>
  <c r="O231" i="54"/>
  <c r="O235" i="54"/>
  <c r="K235" i="52"/>
  <c r="O231" i="57"/>
  <c r="O235" i="57"/>
  <c r="P235" i="68"/>
  <c r="P231" i="68"/>
  <c r="K235" i="42"/>
  <c r="L235" i="58"/>
  <c r="P235" i="63"/>
  <c r="P231" i="63"/>
  <c r="P235" i="42"/>
  <c r="P231" i="42"/>
  <c r="M235" i="59"/>
  <c r="J235" i="49"/>
  <c r="I235" i="54"/>
  <c r="I231" i="54"/>
  <c r="J231" i="54"/>
  <c r="J235" i="54"/>
  <c r="N231" i="66"/>
  <c r="O231" i="66"/>
  <c r="P231" i="66"/>
  <c r="P235" i="66"/>
  <c r="O231" i="39"/>
  <c r="O235" i="39"/>
  <c r="M231" i="53"/>
  <c r="N231" i="53"/>
  <c r="O231" i="53"/>
  <c r="P231" i="53"/>
  <c r="P235" i="53"/>
  <c r="O235" i="52"/>
  <c r="N235" i="65"/>
  <c r="J235" i="47"/>
  <c r="K235" i="57"/>
  <c r="N231" i="64"/>
  <c r="N235" i="64"/>
  <c r="M235" i="68"/>
  <c r="K231" i="62"/>
  <c r="K235" i="62"/>
  <c r="M235" i="41"/>
  <c r="N231" i="43"/>
  <c r="N235" i="43"/>
  <c r="P235" i="38"/>
  <c r="P231" i="38"/>
  <c r="J235" i="51"/>
  <c r="N235" i="41"/>
  <c r="L231" i="61"/>
  <c r="M231" i="61"/>
  <c r="M235" i="61"/>
  <c r="M235" i="67"/>
  <c r="J235" i="42"/>
  <c r="P235" i="58"/>
  <c r="P231" i="58"/>
  <c r="O235" i="40"/>
  <c r="O235" i="41"/>
  <c r="O231" i="50"/>
  <c r="O235" i="50"/>
  <c r="O231" i="68"/>
  <c r="O235" i="68"/>
  <c r="J235" i="46"/>
  <c r="O231" i="63"/>
  <c r="O235" i="63"/>
  <c r="L235" i="59"/>
  <c r="L235" i="47"/>
  <c r="O235" i="67"/>
  <c r="P235" i="59"/>
  <c r="P231" i="59"/>
  <c r="P235" i="56"/>
  <c r="P231" i="56"/>
  <c r="P235" i="6"/>
  <c r="P231" i="6"/>
  <c r="M235" i="48"/>
  <c r="N231" i="39"/>
  <c r="N235" i="39"/>
  <c r="O235" i="60"/>
  <c r="P235" i="46"/>
  <c r="P231" i="46"/>
  <c r="O231" i="52"/>
  <c r="P231" i="52"/>
  <c r="P235" i="52"/>
  <c r="M235" i="50"/>
  <c r="N231" i="55"/>
  <c r="N235" i="55"/>
  <c r="O231" i="38"/>
  <c r="O235" i="38"/>
  <c r="J235" i="37"/>
  <c r="L235" i="50"/>
  <c r="L235" i="36"/>
  <c r="M231" i="55"/>
  <c r="M235" i="55"/>
  <c r="J235" i="61"/>
  <c r="J235" i="66"/>
  <c r="K235" i="65"/>
  <c r="N235" i="56"/>
  <c r="J235" i="52"/>
  <c r="L235" i="63"/>
  <c r="M231" i="64"/>
  <c r="M235" i="64"/>
  <c r="L235" i="44"/>
  <c r="L235" i="68"/>
  <c r="I235" i="62"/>
  <c r="I231" i="62"/>
  <c r="J231" i="62"/>
  <c r="J235" i="62"/>
  <c r="L235" i="66"/>
  <c r="M235" i="42"/>
  <c r="M231" i="43"/>
  <c r="M235" i="43"/>
  <c r="N235" i="42"/>
  <c r="O235" i="65"/>
  <c r="M235" i="40"/>
  <c r="N231" i="57"/>
  <c r="N235" i="57"/>
  <c r="J235" i="39"/>
  <c r="L235" i="67"/>
  <c r="K235" i="47"/>
  <c r="N235" i="40"/>
  <c r="O231" i="58"/>
  <c r="O235" i="58"/>
  <c r="M231" i="40"/>
  <c r="N231" i="40"/>
  <c r="O231" i="40"/>
  <c r="P231" i="40"/>
  <c r="P235" i="40"/>
  <c r="M231" i="41"/>
  <c r="N231" i="41"/>
  <c r="O231" i="41"/>
  <c r="P231" i="41"/>
  <c r="P235" i="41"/>
  <c r="L231" i="50"/>
  <c r="M231" i="50"/>
  <c r="N231" i="50"/>
  <c r="N235" i="50"/>
  <c r="I235" i="37"/>
  <c r="I231" i="37"/>
  <c r="J231" i="37"/>
  <c r="K231" i="37"/>
  <c r="L231" i="37"/>
  <c r="L235" i="37"/>
  <c r="L231" i="41"/>
  <c r="L235" i="41"/>
  <c r="N231" i="63"/>
  <c r="N235" i="63"/>
  <c r="N231" i="52"/>
  <c r="N235" i="52"/>
  <c r="K235" i="59"/>
  <c r="J235" i="59"/>
  <c r="O231" i="44"/>
  <c r="O235" i="44"/>
  <c r="L231" i="67"/>
  <c r="M231" i="67"/>
  <c r="N231" i="67"/>
  <c r="O231" i="67"/>
  <c r="P231" i="67"/>
  <c r="P235" i="67"/>
  <c r="O231" i="59"/>
  <c r="O235" i="59"/>
  <c r="O235" i="47"/>
  <c r="O231" i="6"/>
  <c r="O235" i="6"/>
  <c r="J235" i="64"/>
  <c r="N235" i="60"/>
  <c r="M235" i="65"/>
  <c r="M231" i="60"/>
  <c r="N231" i="60"/>
  <c r="O231" i="60"/>
  <c r="P231" i="60"/>
  <c r="P235" i="60"/>
  <c r="O235" i="45"/>
  <c r="M235" i="49"/>
  <c r="M235" i="36"/>
  <c r="O235" i="49"/>
  <c r="M235" i="51"/>
  <c r="I235" i="61"/>
  <c r="I231" i="61"/>
  <c r="J231" i="61"/>
  <c r="K231" i="61"/>
  <c r="K235" i="61"/>
  <c r="K235" i="66"/>
  <c r="K231" i="41"/>
  <c r="K235" i="41"/>
  <c r="M231" i="51"/>
  <c r="N231" i="51"/>
  <c r="N235" i="51"/>
  <c r="O231" i="49"/>
  <c r="P231" i="49"/>
  <c r="P235" i="49"/>
  <c r="K231" i="38"/>
  <c r="L231" i="38"/>
  <c r="M231" i="38"/>
  <c r="N231" i="38"/>
  <c r="N235" i="38"/>
  <c r="I235" i="41"/>
  <c r="I231" i="41"/>
  <c r="J231" i="41"/>
  <c r="J235" i="41"/>
  <c r="J235" i="55"/>
  <c r="L235" i="65"/>
  <c r="K235" i="36"/>
  <c r="L235" i="49"/>
  <c r="N231" i="46"/>
  <c r="O231" i="46"/>
  <c r="O235" i="46"/>
  <c r="I235" i="55"/>
  <c r="I231" i="55"/>
  <c r="J231" i="55"/>
  <c r="K231" i="55"/>
  <c r="L231" i="55"/>
  <c r="L235" i="55"/>
  <c r="K235" i="39"/>
  <c r="M235" i="56"/>
  <c r="K235" i="63"/>
  <c r="K231" i="63"/>
  <c r="L231" i="63"/>
  <c r="M231" i="63"/>
  <c r="M235" i="63"/>
  <c r="I235" i="64"/>
  <c r="I231" i="64"/>
  <c r="J231" i="64"/>
  <c r="K231" i="64"/>
  <c r="L231" i="64"/>
  <c r="L235" i="64"/>
  <c r="I235" i="38"/>
  <c r="I231" i="38"/>
  <c r="J231" i="38"/>
  <c r="J235" i="38"/>
  <c r="K231" i="60"/>
  <c r="L231" i="60"/>
  <c r="L235" i="60"/>
  <c r="I235" i="40"/>
  <c r="I231" i="40"/>
  <c r="J231" i="40"/>
  <c r="K231" i="40"/>
  <c r="L231" i="40"/>
  <c r="L235" i="40"/>
  <c r="K235" i="43"/>
  <c r="I235" i="43"/>
  <c r="I231" i="43"/>
  <c r="J231" i="43"/>
  <c r="K231" i="43"/>
  <c r="L231" i="43"/>
  <c r="L235" i="43"/>
  <c r="M231" i="42"/>
  <c r="N231" i="42"/>
  <c r="O231" i="42"/>
  <c r="O235" i="42"/>
  <c r="I235" i="60"/>
  <c r="I231" i="60"/>
  <c r="J231" i="60"/>
  <c r="J235" i="60"/>
  <c r="K231" i="65"/>
  <c r="L231" i="65"/>
  <c r="M231" i="65"/>
  <c r="N231" i="65"/>
  <c r="O231" i="65"/>
  <c r="P231" i="65"/>
  <c r="P235" i="65"/>
  <c r="I235" i="56"/>
  <c r="I231" i="56"/>
  <c r="J231" i="56"/>
  <c r="K231" i="56"/>
  <c r="L231" i="56"/>
  <c r="M231" i="56"/>
  <c r="N231" i="56"/>
  <c r="O231" i="56"/>
  <c r="O235" i="56"/>
  <c r="K231" i="57"/>
  <c r="L231" i="57"/>
  <c r="M231" i="57"/>
  <c r="M235" i="57"/>
  <c r="I235" i="50"/>
  <c r="I231" i="50"/>
  <c r="J231" i="50"/>
  <c r="K231" i="50"/>
  <c r="K235" i="50"/>
  <c r="I235" i="67"/>
  <c r="I231" i="67"/>
  <c r="J231" i="67"/>
  <c r="K231" i="67"/>
  <c r="K235" i="67"/>
  <c r="L231" i="68"/>
  <c r="M231" i="68"/>
  <c r="N231" i="68"/>
  <c r="N235" i="68"/>
  <c r="I235" i="66"/>
  <c r="I231" i="66"/>
  <c r="J231" i="66"/>
  <c r="K231" i="66"/>
  <c r="L231" i="66"/>
  <c r="M231" i="66"/>
  <c r="M235" i="66"/>
  <c r="I235" i="58"/>
  <c r="I231" i="58"/>
  <c r="J231" i="58"/>
  <c r="K231" i="58"/>
  <c r="L231" i="58"/>
  <c r="M231" i="58"/>
  <c r="N231" i="58"/>
  <c r="N235" i="58"/>
  <c r="I235" i="42"/>
  <c r="I231" i="42"/>
  <c r="J231" i="42"/>
  <c r="K231" i="42"/>
  <c r="L231" i="42"/>
  <c r="L235" i="42"/>
  <c r="L235" i="39"/>
  <c r="O235" i="48"/>
  <c r="I235" i="36"/>
  <c r="I231" i="36"/>
  <c r="J231" i="36"/>
  <c r="K231" i="36"/>
  <c r="L231" i="36"/>
  <c r="M231" i="36"/>
  <c r="N231" i="36"/>
  <c r="O231" i="36"/>
  <c r="O235" i="36"/>
  <c r="I235" i="65"/>
  <c r="I231" i="65"/>
  <c r="J231" i="65"/>
  <c r="J235" i="65"/>
  <c r="L235" i="6"/>
  <c r="I235" i="63"/>
  <c r="I231" i="63"/>
  <c r="J231" i="63"/>
  <c r="J235" i="63"/>
  <c r="J235" i="68"/>
  <c r="I235" i="52"/>
  <c r="I231" i="52"/>
  <c r="J231" i="52"/>
  <c r="K231" i="52"/>
  <c r="L231" i="52"/>
  <c r="M231" i="52"/>
  <c r="M235" i="52"/>
  <c r="L231" i="53"/>
  <c r="L235" i="53"/>
  <c r="L231" i="51"/>
  <c r="L235" i="51"/>
  <c r="I235" i="44"/>
  <c r="I231" i="44"/>
  <c r="J231" i="44"/>
  <c r="K231" i="44"/>
  <c r="L231" i="44"/>
  <c r="M231" i="44"/>
  <c r="N231" i="44"/>
  <c r="N235" i="44"/>
  <c r="I235" i="39"/>
  <c r="I231" i="39"/>
  <c r="J231" i="39"/>
  <c r="K231" i="39"/>
  <c r="L231" i="39"/>
  <c r="M231" i="39"/>
  <c r="M235" i="39"/>
  <c r="I235" i="59"/>
  <c r="I231" i="59"/>
  <c r="J231" i="59"/>
  <c r="K231" i="59"/>
  <c r="L231" i="59"/>
  <c r="M231" i="59"/>
  <c r="N231" i="59"/>
  <c r="N235" i="59"/>
  <c r="I235" i="47"/>
  <c r="I231" i="47"/>
  <c r="J231" i="47"/>
  <c r="K231" i="47"/>
  <c r="L231" i="47"/>
  <c r="M231" i="47"/>
  <c r="N231" i="47"/>
  <c r="O231" i="47"/>
  <c r="P231" i="47"/>
  <c r="P235" i="47"/>
  <c r="I235" i="6"/>
  <c r="I231" i="6"/>
  <c r="J231" i="6"/>
  <c r="K231" i="6"/>
  <c r="L231" i="6"/>
  <c r="M231" i="6"/>
  <c r="N231" i="6"/>
  <c r="N235" i="6"/>
  <c r="I235" i="68"/>
  <c r="I231" i="68"/>
  <c r="J231" i="68"/>
  <c r="K231" i="68"/>
  <c r="K235" i="68"/>
  <c r="I235" i="57"/>
  <c r="I231" i="57"/>
  <c r="J231" i="57"/>
  <c r="J235" i="57"/>
  <c r="I235" i="46"/>
  <c r="I231" i="46"/>
  <c r="J231" i="46"/>
  <c r="K231" i="46"/>
  <c r="L231" i="46"/>
  <c r="M231" i="46"/>
  <c r="M235" i="46"/>
  <c r="I235" i="53"/>
  <c r="I231" i="53"/>
  <c r="J231" i="53"/>
  <c r="K231" i="53"/>
  <c r="K235" i="53"/>
  <c r="I235" i="49"/>
  <c r="I231" i="49"/>
  <c r="J231" i="49"/>
  <c r="K231" i="49"/>
  <c r="L231" i="49"/>
  <c r="M231" i="49"/>
  <c r="N231" i="49"/>
  <c r="N235" i="49"/>
  <c r="I235" i="45"/>
  <c r="I231" i="45"/>
  <c r="J231" i="45"/>
  <c r="K231" i="45"/>
  <c r="L231" i="45"/>
  <c r="M231" i="45"/>
  <c r="N231" i="45"/>
  <c r="O231" i="45"/>
  <c r="P231" i="45"/>
  <c r="P235" i="45"/>
  <c r="I235" i="51"/>
  <c r="I231" i="51"/>
  <c r="J231" i="51"/>
  <c r="K231" i="51"/>
  <c r="K235" i="51"/>
  <c r="I235" i="48"/>
  <c r="I231" i="48"/>
  <c r="J231" i="48"/>
  <c r="K231" i="48"/>
  <c r="L231" i="48"/>
  <c r="M231" i="48"/>
  <c r="N231" i="48"/>
  <c r="O231" i="48"/>
  <c r="P231" i="48"/>
  <c r="P235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37291D3-18F2-4F10-9182-8B259C7FE03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F47C39C8-ED38-4886-B4A0-F5DF8625488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8A376C49-61E0-4DEA-BD95-323F13F3CE53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2E1DDB32-2133-41D2-96A5-F4F396FFF26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A9298AE1-A43C-4819-87F4-F02674F6F90D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11EAFCFC-112B-43B3-9262-5C5031D6205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09C595B-40FD-4C58-A6CE-DF0058C24218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01BAE60-9BFB-4C59-BEF1-5CCDE497865C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138949DC-6BC1-49DB-8203-2C3C89F7758D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6B29995-2AAA-40C5-9616-970D6524322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B56681D-E887-4FFD-BDDC-9DE8CDFEC1F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4C476D3-45CA-47D5-85FD-84AB89083A0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7C77E63-EB15-471D-98AE-25A964C2506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BB340AE-57D3-4184-9B68-BCDE6771B16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44DC9B3-1474-4E35-A505-4C9E516BFEC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28836AD0-788F-45DD-9DBC-9EBE5A3D2AD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AFD8D210-20D4-46F0-AEF9-0DF41507352D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A473A13-B5CD-4112-A038-925930EE7C4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A059794C-C931-4FC8-BBCD-4418F04C5A4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24EC202E-1923-416F-93FA-F1475B629CA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11760689-774B-49EA-A4CC-C0EF160DFB4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60D75AA9-0CCC-44BB-ADE3-204DFFFC26B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ED1CE284-F4E7-4C43-A314-5A0E613F905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C70F942-ACC2-414B-8F16-E554CA20B5E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DC6574D-935F-4FFB-8222-1E5C5148648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547868A6-74B7-4BF9-9CE8-B5F9AF4764EE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8B7564B-222A-45FA-934E-DC34B14E7868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72EAC17-057B-4782-A042-FBAAF35B54D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FD26D7B5-D35B-44E5-B1E8-9DDFB8FD2839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C41CC94-6270-4FE2-BF45-1F18BE6E314D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762B370-06E6-403C-B80B-C331D0CFC03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03DBA8A-9FDF-47CC-A8CE-8325B0F2152A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71FB62B-C8F6-417C-9D1A-F267A13D217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E74FFC46-50A1-40A7-9313-E5484E2E5EF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sharedStrings.xml><?xml version="1.0" encoding="utf-8"?>
<sst xmlns="http://schemas.openxmlformats.org/spreadsheetml/2006/main" count="9233" uniqueCount="299">
  <si>
    <t xml:space="preserve">LOAD DISPATCH  CENTRE,  NEPAL   ELECTRICITY   AUTHORITY
DAILY SYSTEM OPERATION LOG  FOR INPS </t>
  </si>
  <si>
    <t>Installed Capacity (MW)</t>
  </si>
  <si>
    <t>Bhai</t>
  </si>
  <si>
    <t>Sim</t>
  </si>
  <si>
    <t>Ktm</t>
  </si>
  <si>
    <t>Brt</t>
  </si>
  <si>
    <t>Rainfall</t>
  </si>
  <si>
    <t>IPP</t>
  </si>
  <si>
    <t>* other ipp reduced to 210 due to addition of rudi khola a in log sheet</t>
  </si>
  <si>
    <t>llkkjmj</t>
  </si>
  <si>
    <t>NEA RoR</t>
  </si>
  <si>
    <t>Nepali Date:</t>
  </si>
  <si>
    <t>NEA Storage</t>
  </si>
  <si>
    <t>Total Hydro</t>
  </si>
  <si>
    <t>Night Shift(Contd..)</t>
  </si>
  <si>
    <t>Morning Shift</t>
  </si>
  <si>
    <t>Day Shift</t>
  </si>
  <si>
    <t>Night Shift</t>
  </si>
  <si>
    <t xml:space="preserve">                              Hrs.               Source</t>
  </si>
  <si>
    <t>Solu Khola Dudhkoshi(86)</t>
  </si>
  <si>
    <t>Super Dordi (54)</t>
  </si>
  <si>
    <t>Likhu-IV(52.4)</t>
  </si>
  <si>
    <t>Upper Marsyangdi "A"(50)</t>
  </si>
  <si>
    <t>Upper Bhotekoshi Khola(45)</t>
  </si>
  <si>
    <t>Super Madi ( 44 )</t>
  </si>
  <si>
    <t>Mistri Khola(42)</t>
  </si>
  <si>
    <t>Upper Kalanga Gad(38.46)</t>
  </si>
  <si>
    <t>Upper Balefi (36)</t>
  </si>
  <si>
    <t>Nyadi(30)</t>
  </si>
  <si>
    <t>Likhu Khola A(29.04)</t>
  </si>
  <si>
    <t>Lower Likhu(28)</t>
  </si>
  <si>
    <t>Dordi(27)</t>
  </si>
  <si>
    <t>Upper Madi(25)</t>
  </si>
  <si>
    <t>Kabeli B-1(25)</t>
  </si>
  <si>
    <t>Singati Khola(25)</t>
  </si>
  <si>
    <t>Upper Dordi (25)</t>
  </si>
  <si>
    <t>Solu Khola(23.5)</t>
  </si>
  <si>
    <t>Upper Chaku A(22.2)</t>
  </si>
  <si>
    <t>Tallo Hewa Khola(22.1)</t>
  </si>
  <si>
    <t xml:space="preserve"> Sanima Mai Khola(22)</t>
  </si>
  <si>
    <t>Bagmati Khola Small(22)</t>
  </si>
  <si>
    <t>Lower Modi (20)</t>
  </si>
  <si>
    <t>Middle Modi (18)</t>
  </si>
  <si>
    <t>Kalanga Gad(15.33)</t>
  </si>
  <si>
    <t>Hewa Khola A(14.9)</t>
  </si>
  <si>
    <t>Thapa Khola(13.6)</t>
  </si>
  <si>
    <t>Madkyu Khola(13)</t>
  </si>
  <si>
    <t>Dordi12)</t>
  </si>
  <si>
    <t>Jhimruk Khola(12)</t>
  </si>
  <si>
    <t>Upper Khimti(12)</t>
  </si>
  <si>
    <t>Upper Mai Khola (12)</t>
  </si>
  <si>
    <t>Namarjun Madi(11.88)</t>
  </si>
  <si>
    <t>Lower Khare(11)</t>
  </si>
  <si>
    <t>Lower Modi 1(10)</t>
  </si>
  <si>
    <t>Makari Gad(10.0)</t>
  </si>
  <si>
    <t>Mithila Solar PV Electric Project(10)</t>
  </si>
  <si>
    <t>Other IPP Total</t>
  </si>
  <si>
    <t>Kabeli Corridor</t>
  </si>
  <si>
    <t>Total IPP</t>
  </si>
  <si>
    <t>Upper Tamakoshi(456)</t>
  </si>
  <si>
    <t>Khimti Khola(60)</t>
  </si>
  <si>
    <t>Chilime(22.1)</t>
  </si>
  <si>
    <t>Total NEA SUBSIDIARIES</t>
  </si>
  <si>
    <t>KGA(144)</t>
  </si>
  <si>
    <t>Middle MRS(70)</t>
  </si>
  <si>
    <t>MRS(69)</t>
  </si>
  <si>
    <t>U Trisuli 3A(60)</t>
  </si>
  <si>
    <t>CHM(30)</t>
  </si>
  <si>
    <t>NEA  SOLAR(25)</t>
  </si>
  <si>
    <t>TRI(24)</t>
  </si>
  <si>
    <t>GDK(15)</t>
  </si>
  <si>
    <t>DEVI(14.1)</t>
  </si>
  <si>
    <t>MODI(14)</t>
  </si>
  <si>
    <t>SUN(10.05)</t>
  </si>
  <si>
    <t>PUWA(6.2)</t>
  </si>
  <si>
    <t>Other NEA Small</t>
  </si>
  <si>
    <t>Total ROR</t>
  </si>
  <si>
    <t>KL1(60)</t>
  </si>
  <si>
    <t>KL2(32)</t>
  </si>
  <si>
    <t>KL3(14)</t>
  </si>
  <si>
    <t>Total STORGE</t>
  </si>
  <si>
    <t>TANAKPUR</t>
  </si>
  <si>
    <t>KATAIYA</t>
  </si>
  <si>
    <t>MUJAFFARPUR</t>
  </si>
  <si>
    <t>RAMNAGAR</t>
  </si>
  <si>
    <t>RAXAUL 132</t>
  </si>
  <si>
    <t>NANPARA(33kV)</t>
  </si>
  <si>
    <t>BISHANPUR(33kV)</t>
  </si>
  <si>
    <t xml:space="preserve">UTK Discharge Test </t>
  </si>
  <si>
    <t>JALESHWOR(33kV)</t>
  </si>
  <si>
    <t>RAJBIRAJ(33kV)</t>
  </si>
  <si>
    <t>Line1</t>
  </si>
  <si>
    <t>RAXAUL(33kV)</t>
  </si>
  <si>
    <t>Line 2</t>
  </si>
  <si>
    <t>OTHERS IMPORT</t>
  </si>
  <si>
    <t>Total IMPORT</t>
  </si>
  <si>
    <t>MULTI F(39)</t>
  </si>
  <si>
    <t>HTD DIE(14.41)</t>
  </si>
  <si>
    <t>MRS DI()</t>
  </si>
  <si>
    <t>Total THERMAL</t>
  </si>
  <si>
    <t>TOTAL SYSTEM LOAD (ACTUAL)</t>
  </si>
  <si>
    <t>Interruption/Tripping</t>
  </si>
  <si>
    <t>TOTAL SYSTEM LOAD (EXPECTED)</t>
  </si>
  <si>
    <t>TOTAL NATIONAL LOAD (ACTUAL)</t>
  </si>
  <si>
    <t>RAXAUL</t>
  </si>
  <si>
    <t>MUZAFFARPUR</t>
  </si>
  <si>
    <t>OTHERS EXPORT</t>
  </si>
  <si>
    <t>Total EXPORT</t>
  </si>
  <si>
    <t>NET IMPORT</t>
  </si>
  <si>
    <t>HZ</t>
  </si>
  <si>
    <t>HTD 132KV</t>
  </si>
  <si>
    <t xml:space="preserve">SUI 132KV </t>
  </si>
  <si>
    <t xml:space="preserve">DUBI 132KV </t>
  </si>
  <si>
    <t xml:space="preserve">ANAMANI 132KV </t>
  </si>
  <si>
    <t xml:space="preserve">KG-A 132KV </t>
  </si>
  <si>
    <t xml:space="preserve">KOHALPUR 132KV </t>
  </si>
  <si>
    <t xml:space="preserve">SUI 66KV </t>
  </si>
  <si>
    <t/>
  </si>
  <si>
    <t>Kathmandu Load</t>
  </si>
  <si>
    <t>MRS-SYU</t>
  </si>
  <si>
    <t>NMRS-MATA</t>
  </si>
  <si>
    <t>KL2-MATA</t>
  </si>
  <si>
    <t>KL1-SYU</t>
  </si>
  <si>
    <t>KHIMTI-LAMOSAGU</t>
  </si>
  <si>
    <t>DHALKE-CHAPUR I</t>
  </si>
  <si>
    <t>NBHARATPUR-BARDGHAT</t>
  </si>
  <si>
    <t>DAMAK-DUHABI</t>
  </si>
  <si>
    <t>Hetauda-Kamane</t>
  </si>
  <si>
    <t>DHALKE-MIRCHAIYA</t>
  </si>
  <si>
    <t>Others IPP Detail</t>
  </si>
  <si>
    <t>Upper Mai Khola(9.98)</t>
  </si>
  <si>
    <t>Kabeli B-1 Cascade(9.94)</t>
  </si>
  <si>
    <t>Iwa Khola(9.9)</t>
  </si>
  <si>
    <t>Sipring Khola(9.658)</t>
  </si>
  <si>
    <t>Super Mai 'A' (9.6)</t>
  </si>
  <si>
    <t>Mai Beni(9.51)</t>
  </si>
  <si>
    <t>Andhi Khola(9.4)</t>
  </si>
  <si>
    <t>Rudi Khola A(8.8)</t>
  </si>
  <si>
    <t>Naugadh gad Khola(8.5)</t>
  </si>
  <si>
    <t>Butwal Solar Project(8.5)</t>
  </si>
  <si>
    <t>Upper Hewa Khola Small(8.5)</t>
  </si>
  <si>
    <t>Ankhu Khola - 1(8.4)</t>
  </si>
  <si>
    <t>Mai sana Cascade(8)</t>
  </si>
  <si>
    <t>Upper Naugad Gad(8)</t>
  </si>
  <si>
    <t>Taksar Pikhuwa(8)</t>
  </si>
  <si>
    <t>Super Mai(7.8)</t>
  </si>
  <si>
    <t>Jogmai(7.6)</t>
  </si>
  <si>
    <t>Indrawati - III (7.5)</t>
  </si>
  <si>
    <t>Upper Khorunga(7.5)</t>
  </si>
  <si>
    <t>Mai Cascade(7)</t>
  </si>
  <si>
    <t>Molung Khola(7)</t>
  </si>
  <si>
    <t>Upper Mardi(7)</t>
  </si>
  <si>
    <t>Upper Khimti II(7)</t>
  </si>
  <si>
    <t>Rudi Khola B(6.6)</t>
  </si>
  <si>
    <t>Sapsup Khola(6.6)</t>
  </si>
  <si>
    <t>Suri Khola(6.4)</t>
  </si>
  <si>
    <t>Lower Jogmai(6.2)</t>
  </si>
  <si>
    <t>Daraudi Khola A(6)</t>
  </si>
  <si>
    <t>Upper Mai C(5.1)</t>
  </si>
  <si>
    <t>Tadi Khola (Thaprek)(5)</t>
  </si>
  <si>
    <t>Mailung Khola(5)</t>
  </si>
  <si>
    <t>Upper Hugdi Khola(5)</t>
  </si>
  <si>
    <t>Pikhuwa Khola(5)</t>
  </si>
  <si>
    <t>Ghalemdi Khola(5)</t>
  </si>
  <si>
    <t>Ghatte Khola(5)</t>
  </si>
  <si>
    <t>Belchautara Solar Project(5)</t>
  </si>
  <si>
    <t>Lower Tadi(4.993)</t>
  </si>
  <si>
    <t>Richet Khola(4.98)</t>
  </si>
  <si>
    <t>Siuri Khola(4.95)</t>
  </si>
  <si>
    <t>Phawa Khola(4.95)</t>
  </si>
  <si>
    <t>Mardi Khola(4.8)</t>
  </si>
  <si>
    <t>Padam Khola(4.8)</t>
  </si>
  <si>
    <t>Mai Khola(4.5)</t>
  </si>
  <si>
    <t>Bijayapur 2 Khola Small(4.5)</t>
  </si>
  <si>
    <t>Hewa Khola(4.455)</t>
  </si>
  <si>
    <t>Bijayapur-1(4.41)</t>
  </si>
  <si>
    <t>Radhi Khola(4.4)</t>
  </si>
  <si>
    <t>Tungun-Thosne(4.36)</t>
  </si>
  <si>
    <t>Baramchi Khola(4.2)</t>
  </si>
  <si>
    <t>Khudi Khola(4)</t>
  </si>
  <si>
    <t>Sabha Khola(4)</t>
  </si>
  <si>
    <t>Puwa Khola -1 (4)</t>
  </si>
  <si>
    <t>Sardi Khola(4)</t>
  </si>
  <si>
    <t>Chandranigahpur Solar Project(4)</t>
  </si>
  <si>
    <t>Upper Chhyangdi Khola(4)</t>
  </si>
  <si>
    <t>Super Mai Cascade(3.8)</t>
  </si>
  <si>
    <t>Dwari Khola(3.75)</t>
  </si>
  <si>
    <t>Charanawati  Khola(3.52)</t>
  </si>
  <si>
    <t>Kapadi Gad(3.33)</t>
  </si>
  <si>
    <t>Piluwa Khola Small(3)</t>
  </si>
  <si>
    <t>Chaku Khola(3)</t>
  </si>
  <si>
    <t>Bhairab Kunda(3)</t>
  </si>
  <si>
    <t>Upper Puwa -1(3)</t>
  </si>
  <si>
    <t>Midim Karapu(3)</t>
  </si>
  <si>
    <t>Upper Rawa(3)</t>
  </si>
  <si>
    <t>Everest Sugar and Chemical Industries Ltd.(3)</t>
  </si>
  <si>
    <t>Indushankar Chini Udhyog Ltd.(3)</t>
  </si>
  <si>
    <t>Dhalkebar Solar Project(3)</t>
  </si>
  <si>
    <t>Chake Khola(2.83)</t>
  </si>
  <si>
    <t>Sunkoshi Small(2.5)</t>
  </si>
  <si>
    <t>Daram Khola A(2.5)</t>
  </si>
  <si>
    <t>Ridi Khola(2.4)</t>
  </si>
  <si>
    <t>Upper Syange Khola(2.4)</t>
  </si>
  <si>
    <t>Jiri Khola Small(2.2)</t>
  </si>
  <si>
    <t>Chhandi(2)</t>
  </si>
  <si>
    <t>Jhyadi Khola(2)</t>
  </si>
  <si>
    <t>Khani Khola(2)</t>
  </si>
  <si>
    <t>Middle Chaku(1.8)</t>
  </si>
  <si>
    <t>Lower Chaku Khola(1.8)</t>
  </si>
  <si>
    <t>Thoppal Khola(1.65)</t>
  </si>
  <si>
    <t>Theule Khola(1.5)</t>
  </si>
  <si>
    <t>Dhalkebar Saurya Aayojana(1)</t>
  </si>
  <si>
    <t>Suspa Bukhari(0.998)</t>
  </si>
  <si>
    <t>Lower Chhote Khola(0.997)</t>
  </si>
  <si>
    <t>Hadi Khola Sunkoshi A(0.997)</t>
  </si>
  <si>
    <t>Pati Khola Small(0.996)</t>
  </si>
  <si>
    <t>Miya Khola(0.996)</t>
  </si>
  <si>
    <t>Jeuligad(0.996)</t>
  </si>
  <si>
    <t>Pheme Khola(0.995)</t>
  </si>
  <si>
    <t>Chhote Khola(0.993)</t>
  </si>
  <si>
    <t>Upper Hadi Khola(0.991)</t>
  </si>
  <si>
    <t>Lower Piluwa Small(0.99)</t>
  </si>
  <si>
    <t>Seti-II(0.979)</t>
  </si>
  <si>
    <t>Bishnu Priya Solar Farm Project(0.96)</t>
  </si>
  <si>
    <t>Sisne Khola Small(0.75)</t>
  </si>
  <si>
    <t>Solar(0.68)</t>
  </si>
  <si>
    <t>Dhunge-Jiri(0.6)</t>
  </si>
  <si>
    <t>Belkhu(0.518)</t>
  </si>
  <si>
    <t>Rairang Khola(0.5)</t>
  </si>
  <si>
    <t>Sali Nadi(0.25)</t>
  </si>
  <si>
    <t>Syange Khola(0.183)</t>
  </si>
  <si>
    <t>Midim Khola(0.1)</t>
  </si>
  <si>
    <t>Sobuwa Khola-2 MHP(0.09)</t>
  </si>
  <si>
    <t>Leguwa Khola(0.04)</t>
  </si>
  <si>
    <t>Syauri Bhumey(0.023)</t>
  </si>
  <si>
    <t>Others IPP Total</t>
  </si>
  <si>
    <t>PANAUTI(2.4)</t>
  </si>
  <si>
    <t>TATOPANI(2)</t>
  </si>
  <si>
    <t>SETI(1.5)</t>
  </si>
  <si>
    <t>FEWA(1)</t>
  </si>
  <si>
    <t>TINAU(1)</t>
  </si>
  <si>
    <t>SUNDARIJAL(0.66)</t>
  </si>
  <si>
    <t>Water Level</t>
  </si>
  <si>
    <t>KGA</t>
  </si>
  <si>
    <t>MMRS</t>
  </si>
  <si>
    <t>MRS</t>
  </si>
  <si>
    <t>KL 1</t>
  </si>
  <si>
    <t>Morning Peak</t>
  </si>
  <si>
    <t>PEAK SUMMARY</t>
  </si>
  <si>
    <t>NEA(RoR+PRoR)</t>
  </si>
  <si>
    <t xml:space="preserve"> Hrs.</t>
  </si>
  <si>
    <t>KL1+KL2+KL3</t>
  </si>
  <si>
    <t>T_Load</t>
  </si>
  <si>
    <t>Import</t>
  </si>
  <si>
    <t>Export</t>
  </si>
  <si>
    <t>Total</t>
  </si>
  <si>
    <t>Time</t>
  </si>
  <si>
    <t>Frequency</t>
  </si>
  <si>
    <t>Sdordi</t>
  </si>
  <si>
    <t>udordi</t>
  </si>
  <si>
    <t>dordi27</t>
  </si>
  <si>
    <t>dordi 12</t>
  </si>
  <si>
    <t>29*.3</t>
  </si>
  <si>
    <t xml:space="preserve"> </t>
  </si>
  <si>
    <t>PN</t>
  </si>
  <si>
    <t>P</t>
  </si>
  <si>
    <t>A</t>
  </si>
  <si>
    <t>R</t>
  </si>
  <si>
    <t>T</t>
  </si>
  <si>
    <t>I</t>
  </si>
  <si>
    <t>L</t>
  </si>
  <si>
    <t>S</t>
  </si>
  <si>
    <t>Y</t>
  </si>
  <si>
    <t>E</t>
  </si>
  <si>
    <t>M</t>
  </si>
  <si>
    <t>C</t>
  </si>
  <si>
    <t>O</t>
  </si>
  <si>
    <t>8-3.9</t>
  </si>
  <si>
    <t>.</t>
  </si>
  <si>
    <t>131..9</t>
  </si>
  <si>
    <t>Chepe</t>
  </si>
  <si>
    <t>129..1</t>
  </si>
  <si>
    <t>15.3.</t>
  </si>
  <si>
    <t>129+</t>
  </si>
  <si>
    <t>3.4.1</t>
  </si>
  <si>
    <t>38..5</t>
  </si>
  <si>
    <t>p</t>
  </si>
  <si>
    <t>a</t>
  </si>
  <si>
    <t>r</t>
  </si>
  <si>
    <t>o</t>
  </si>
  <si>
    <t>t</t>
  </si>
  <si>
    <t>i</t>
  </si>
  <si>
    <t>l</t>
  </si>
  <si>
    <t>s</t>
  </si>
  <si>
    <t>y</t>
  </si>
  <si>
    <t>e</t>
  </si>
  <si>
    <t>m</t>
  </si>
  <si>
    <t>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</si>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</sst>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F800]dddd\,\ mmmm\ dd\,\ yyyy"/>
    <numFmt numFmtId="165" formatCode="h:mm;@"/>
    <numFmt numFmtId="166" formatCode="0.0"/>
    <numFmt numFmtId="167" formatCode="[hh]:mm"/>
    <numFmt numFmtId="168" formatCode="00.00"/>
    <numFmt numFmtId="169" formatCode="0.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Times New Roman"/>
      <family val="1"/>
    </font>
    <font>
      <b/>
      <sz val="14"/>
      <color theme="0" tint="-4.9989318521683403E-2"/>
      <name val="Times New Roman"/>
      <family val="1"/>
    </font>
    <font>
      <b/>
      <sz val="16"/>
      <color rgb="FF002060"/>
      <name val="Times New Roman"/>
      <family val="1"/>
    </font>
    <font>
      <sz val="14"/>
      <name val="Times New Roman"/>
      <family val="1"/>
    </font>
    <font>
      <b/>
      <sz val="12"/>
      <color rgb="FF7030A0"/>
      <name val="Times New Roman"/>
      <family val="1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Times New Roman"/>
      <family val="1"/>
    </font>
    <font>
      <sz val="12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i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0"/>
      <color indexed="12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8"/>
      <name val="Times New Roman"/>
      <family val="1"/>
    </font>
    <font>
      <b/>
      <sz val="12"/>
      <name val="Calibri"/>
      <family val="2"/>
      <scheme val="minor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i/>
      <sz val="10"/>
      <name val="Times New Roman"/>
      <family val="1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b/>
      <sz val="11"/>
      <name val="Times New Roman"/>
      <family val="1"/>
    </font>
    <font>
      <sz val="10"/>
      <color indexed="10"/>
      <name val="Times New Roman"/>
      <family val="1"/>
    </font>
    <font>
      <sz val="8"/>
      <name val="Arial Narrow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charset val="1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/>
      <diagonal style="double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 diagonalDown="1">
      <left style="double">
        <color indexed="64"/>
      </left>
      <right style="thin">
        <color indexed="64"/>
      </right>
      <top/>
      <bottom style="double">
        <color indexed="64"/>
      </bottom>
      <diagonal style="double">
        <color indexed="64"/>
      </diagonal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/>
    <xf numFmtId="0" fontId="34" fillId="0" borderId="0"/>
    <xf numFmtId="164" fontId="1" fillId="0" borderId="0"/>
  </cellStyleXfs>
  <cellXfs count="208">
    <xf numFmtId="0" fontId="0" fillId="0" borderId="0" xfId="0"/>
    <xf numFmtId="164" fontId="1" fillId="0" borderId="0" xfId="2"/>
    <xf numFmtId="164" fontId="1" fillId="0" borderId="0" xfId="2" applyProtection="1">
      <protection locked="0"/>
    </xf>
    <xf numFmtId="164" fontId="6" fillId="0" borderId="0" xfId="2" applyFont="1" applyAlignment="1">
      <alignment vertical="center"/>
    </xf>
    <xf numFmtId="164" fontId="7" fillId="0" borderId="2" xfId="2" applyFont="1" applyBorder="1" applyAlignment="1">
      <alignment vertical="center"/>
    </xf>
    <xf numFmtId="164" fontId="7" fillId="0" borderId="4" xfId="2" applyFont="1" applyBorder="1" applyAlignment="1">
      <alignment vertical="center"/>
    </xf>
    <xf numFmtId="164" fontId="4" fillId="0" borderId="6" xfId="2" applyFont="1" applyBorder="1" applyAlignment="1">
      <alignment horizontal="center" vertical="center"/>
    </xf>
    <xf numFmtId="164" fontId="4" fillId="0" borderId="6" xfId="2" applyFont="1" applyBorder="1" applyAlignment="1">
      <alignment vertical="center"/>
    </xf>
    <xf numFmtId="164" fontId="4" fillId="0" borderId="0" xfId="2" applyFont="1" applyAlignment="1">
      <alignment vertical="center"/>
    </xf>
    <xf numFmtId="14" fontId="8" fillId="0" borderId="0" xfId="2" applyNumberFormat="1" applyFont="1" applyAlignment="1">
      <alignment vertical="center"/>
    </xf>
    <xf numFmtId="43" fontId="9" fillId="3" borderId="0" xfId="1" applyFont="1" applyFill="1" applyAlignment="1">
      <alignment horizontal="center"/>
    </xf>
    <xf numFmtId="164" fontId="9" fillId="3" borderId="0" xfId="2" applyFont="1" applyFill="1"/>
    <xf numFmtId="164" fontId="1" fillId="3" borderId="0" xfId="2" applyFill="1"/>
    <xf numFmtId="164" fontId="10" fillId="0" borderId="0" xfId="2" applyFont="1" applyAlignment="1">
      <alignment horizontal="center" vertical="center"/>
    </xf>
    <xf numFmtId="164" fontId="11" fillId="0" borderId="0" xfId="2" applyFont="1"/>
    <xf numFmtId="164" fontId="12" fillId="0" borderId="0" xfId="2" applyFont="1" applyAlignment="1">
      <alignment vertical="center"/>
    </xf>
    <xf numFmtId="164" fontId="7" fillId="0" borderId="8" xfId="2" applyFont="1" applyBorder="1" applyAlignment="1">
      <alignment vertical="center"/>
    </xf>
    <xf numFmtId="164" fontId="7" fillId="0" borderId="10" xfId="2" applyFont="1" applyBorder="1" applyAlignment="1">
      <alignment vertical="center"/>
    </xf>
    <xf numFmtId="164" fontId="1" fillId="0" borderId="6" xfId="2" applyBorder="1" applyAlignment="1">
      <alignment horizontal="center" vertical="center"/>
    </xf>
    <xf numFmtId="164" fontId="3" fillId="0" borderId="0" xfId="2" applyFont="1" applyAlignment="1">
      <alignment horizontal="center" vertical="center"/>
    </xf>
    <xf numFmtId="164" fontId="3" fillId="0" borderId="0" xfId="2" applyFont="1" applyAlignment="1">
      <alignment vertical="center"/>
    </xf>
    <xf numFmtId="164" fontId="12" fillId="0" borderId="0" xfId="2" applyFont="1" applyAlignment="1">
      <alignment horizontal="center" vertical="center"/>
    </xf>
    <xf numFmtId="43" fontId="13" fillId="3" borderId="0" xfId="1" applyFont="1" applyFill="1" applyAlignment="1">
      <alignment horizontal="center" vertical="center"/>
    </xf>
    <xf numFmtId="20" fontId="1" fillId="0" borderId="0" xfId="2" applyNumberFormat="1" applyAlignment="1">
      <alignment horizontal="center" vertical="center"/>
    </xf>
    <xf numFmtId="165" fontId="14" fillId="0" borderId="0" xfId="2" applyNumberFormat="1" applyFont="1"/>
    <xf numFmtId="164" fontId="15" fillId="4" borderId="0" xfId="2" applyFont="1" applyFill="1" applyAlignment="1">
      <alignment horizontal="right" vertical="center"/>
    </xf>
    <xf numFmtId="164" fontId="16" fillId="0" borderId="0" xfId="2" applyFont="1" applyAlignment="1">
      <alignment vertical="center"/>
    </xf>
    <xf numFmtId="164" fontId="17" fillId="0" borderId="0" xfId="2" applyFont="1" applyAlignment="1">
      <alignment vertical="center"/>
    </xf>
    <xf numFmtId="164" fontId="1" fillId="0" borderId="0" xfId="2" applyAlignment="1">
      <alignment horizontal="center" vertical="center"/>
    </xf>
    <xf numFmtId="164" fontId="15" fillId="4" borderId="0" xfId="2" applyFont="1" applyFill="1" applyAlignment="1">
      <alignment vertical="center"/>
    </xf>
    <xf numFmtId="166" fontId="1" fillId="5" borderId="0" xfId="2" applyNumberFormat="1" applyFill="1"/>
    <xf numFmtId="164" fontId="1" fillId="5" borderId="0" xfId="2" applyFill="1"/>
    <xf numFmtId="164" fontId="15" fillId="4" borderId="0" xfId="2" applyFont="1" applyFill="1" applyAlignment="1">
      <alignment horizontal="left" vertical="center"/>
    </xf>
    <xf numFmtId="164" fontId="18" fillId="3" borderId="0" xfId="2" applyFont="1" applyFill="1"/>
    <xf numFmtId="164" fontId="19" fillId="0" borderId="0" xfId="2" applyFont="1" applyAlignment="1">
      <alignment horizontal="left" vertical="center"/>
    </xf>
    <xf numFmtId="1" fontId="20" fillId="0" borderId="0" xfId="2" applyNumberFormat="1" applyFont="1" applyAlignment="1">
      <alignment horizontal="center" vertical="center"/>
    </xf>
    <xf numFmtId="43" fontId="21" fillId="0" borderId="0" xfId="1" applyFont="1" applyFill="1" applyAlignment="1">
      <alignment horizontal="center" vertical="center"/>
    </xf>
    <xf numFmtId="164" fontId="2" fillId="0" borderId="0" xfId="2" applyFont="1"/>
    <xf numFmtId="164" fontId="12" fillId="0" borderId="12" xfId="2" applyFont="1" applyBorder="1" applyAlignment="1">
      <alignment vertical="center"/>
    </xf>
    <xf numFmtId="2" fontId="12" fillId="6" borderId="16" xfId="2" applyNumberFormat="1" applyFont="1" applyFill="1" applyBorder="1" applyAlignment="1">
      <alignment horizontal="center" vertical="center"/>
    </xf>
    <xf numFmtId="164" fontId="18" fillId="0" borderId="0" xfId="2" applyFont="1" applyAlignment="1">
      <alignment horizontal="center"/>
    </xf>
    <xf numFmtId="164" fontId="18" fillId="0" borderId="0" xfId="2" applyFont="1"/>
    <xf numFmtId="164" fontId="18" fillId="0" borderId="0" xfId="2" applyFont="1" applyAlignment="1">
      <alignment horizontal="left"/>
    </xf>
    <xf numFmtId="164" fontId="1" fillId="0" borderId="0" xfId="2" applyAlignment="1">
      <alignment horizontal="center"/>
    </xf>
    <xf numFmtId="164" fontId="12" fillId="0" borderId="24" xfId="2" applyFont="1" applyBorder="1" applyAlignment="1">
      <alignment horizontal="right" vertical="center"/>
    </xf>
    <xf numFmtId="166" fontId="12" fillId="0" borderId="25" xfId="2" applyNumberFormat="1" applyFont="1" applyBorder="1" applyAlignment="1" applyProtection="1">
      <alignment horizontal="center" vertical="center"/>
      <protection locked="0"/>
    </xf>
    <xf numFmtId="169" fontId="12" fillId="0" borderId="25" xfId="2" applyNumberFormat="1" applyFont="1" applyBorder="1" applyAlignment="1" applyProtection="1">
      <alignment horizontal="center" vertical="center"/>
      <protection locked="0"/>
    </xf>
    <xf numFmtId="166" fontId="1" fillId="0" borderId="0" xfId="2" applyNumberFormat="1" applyAlignment="1" applyProtection="1">
      <alignment horizontal="center"/>
      <protection locked="0"/>
    </xf>
    <xf numFmtId="166" fontId="1" fillId="0" borderId="0" xfId="2" applyNumberFormat="1" applyProtection="1">
      <protection locked="0"/>
    </xf>
    <xf numFmtId="169" fontId="12" fillId="0" borderId="26" xfId="2" applyNumberFormat="1" applyFont="1" applyBorder="1" applyAlignment="1" applyProtection="1">
      <alignment horizontal="center" vertical="center"/>
      <protection locked="0"/>
    </xf>
    <xf numFmtId="20" fontId="1" fillId="0" borderId="0" xfId="2" applyNumberFormat="1"/>
    <xf numFmtId="169" fontId="25" fillId="0" borderId="27" xfId="2" applyNumberFormat="1" applyFont="1" applyBorder="1" applyAlignment="1">
      <alignment horizontal="center" vertical="center"/>
    </xf>
    <xf numFmtId="2" fontId="25" fillId="0" borderId="27" xfId="2" applyNumberFormat="1" applyFont="1" applyBorder="1" applyAlignment="1">
      <alignment horizontal="center" vertical="center"/>
    </xf>
    <xf numFmtId="164" fontId="12" fillId="0" borderId="28" xfId="2" applyFont="1" applyBorder="1" applyAlignment="1">
      <alignment horizontal="right" vertical="center"/>
    </xf>
    <xf numFmtId="169" fontId="25" fillId="0" borderId="29" xfId="2" applyNumberFormat="1" applyFont="1" applyBorder="1" applyAlignment="1">
      <alignment horizontal="center" vertical="center"/>
    </xf>
    <xf numFmtId="164" fontId="26" fillId="0" borderId="28" xfId="2" applyFont="1" applyBorder="1" applyAlignment="1">
      <alignment horizontal="right" vertical="center"/>
    </xf>
    <xf numFmtId="166" fontId="12" fillId="9" borderId="6" xfId="2" applyNumberFormat="1" applyFont="1" applyFill="1" applyBorder="1" applyAlignment="1" applyProtection="1">
      <alignment horizontal="center" vertical="center"/>
      <protection locked="0"/>
    </xf>
    <xf numFmtId="164" fontId="16" fillId="0" borderId="24" xfId="2" applyFont="1" applyBorder="1" applyAlignment="1">
      <alignment horizontal="right" vertical="center"/>
    </xf>
    <xf numFmtId="166" fontId="12" fillId="10" borderId="25" xfId="2" applyNumberFormat="1" applyFont="1" applyFill="1" applyBorder="1" applyAlignment="1" applyProtection="1">
      <alignment horizontal="center" vertical="center"/>
      <protection locked="0"/>
    </xf>
    <xf numFmtId="164" fontId="16" fillId="0" borderId="30" xfId="2" applyFont="1" applyBorder="1" applyAlignment="1">
      <alignment horizontal="left" vertical="center"/>
    </xf>
    <xf numFmtId="166" fontId="16" fillId="0" borderId="31" xfId="2" applyNumberFormat="1" applyFont="1" applyBorder="1" applyAlignment="1">
      <alignment horizontal="center" vertical="center"/>
    </xf>
    <xf numFmtId="169" fontId="16" fillId="0" borderId="31" xfId="2" applyNumberFormat="1" applyFont="1" applyBorder="1" applyAlignment="1">
      <alignment horizontal="center" vertical="center"/>
    </xf>
    <xf numFmtId="164" fontId="12" fillId="0" borderId="32" xfId="2" applyFont="1" applyBorder="1" applyAlignment="1">
      <alignment horizontal="right" vertical="center"/>
    </xf>
    <xf numFmtId="164" fontId="12" fillId="0" borderId="33" xfId="2" applyFont="1" applyBorder="1" applyAlignment="1">
      <alignment horizontal="right" vertical="center"/>
    </xf>
    <xf numFmtId="166" fontId="12" fillId="0" borderId="6" xfId="2" applyNumberFormat="1" applyFont="1" applyBorder="1" applyAlignment="1" applyProtection="1">
      <alignment horizontal="center" vertical="center"/>
      <protection locked="0"/>
    </xf>
    <xf numFmtId="164" fontId="12" fillId="0" borderId="34" xfId="2" applyFont="1" applyBorder="1" applyAlignment="1">
      <alignment horizontal="right" vertical="center"/>
    </xf>
    <xf numFmtId="166" fontId="12" fillId="0" borderId="18" xfId="2" applyNumberFormat="1" applyFont="1" applyBorder="1" applyAlignment="1" applyProtection="1">
      <alignment horizontal="center" vertical="center"/>
      <protection locked="0"/>
    </xf>
    <xf numFmtId="169" fontId="25" fillId="0" borderId="23" xfId="2" applyNumberFormat="1" applyFont="1" applyBorder="1" applyAlignment="1">
      <alignment horizontal="center" vertical="center"/>
    </xf>
    <xf numFmtId="164" fontId="16" fillId="0" borderId="35" xfId="2" applyFont="1" applyBorder="1" applyAlignment="1">
      <alignment horizontal="left" vertical="center"/>
    </xf>
    <xf numFmtId="164" fontId="27" fillId="0" borderId="0" xfId="2" applyFont="1"/>
    <xf numFmtId="164" fontId="12" fillId="0" borderId="36" xfId="2" applyFont="1" applyBorder="1" applyAlignment="1">
      <alignment horizontal="right" vertical="center"/>
    </xf>
    <xf numFmtId="2" fontId="26" fillId="0" borderId="37" xfId="2" applyNumberFormat="1" applyFont="1" applyBorder="1" applyAlignment="1">
      <alignment horizontal="center" vertical="center"/>
    </xf>
    <xf numFmtId="169" fontId="26" fillId="0" borderId="37" xfId="2" applyNumberFormat="1" applyFont="1" applyBorder="1" applyAlignment="1">
      <alignment horizontal="center" vertical="center"/>
    </xf>
    <xf numFmtId="164" fontId="16" fillId="0" borderId="38" xfId="2" applyFont="1" applyBorder="1" applyAlignment="1">
      <alignment horizontal="left" vertical="center"/>
    </xf>
    <xf numFmtId="169" fontId="12" fillId="0" borderId="29" xfId="2" applyNumberFormat="1" applyFont="1" applyBorder="1" applyAlignment="1">
      <alignment horizontal="center" vertical="center"/>
    </xf>
    <xf numFmtId="166" fontId="12" fillId="0" borderId="25" xfId="2" applyNumberFormat="1" applyFont="1" applyBorder="1" applyAlignment="1">
      <alignment horizontal="center" vertical="center"/>
    </xf>
    <xf numFmtId="166" fontId="12" fillId="0" borderId="6" xfId="2" applyNumberFormat="1" applyFont="1" applyBorder="1" applyAlignment="1">
      <alignment horizontal="center" vertical="center"/>
    </xf>
    <xf numFmtId="164" fontId="2" fillId="11" borderId="0" xfId="2" applyFont="1" applyFill="1"/>
    <xf numFmtId="20" fontId="1" fillId="0" borderId="39" xfId="2" applyNumberFormat="1" applyBorder="1"/>
    <xf numFmtId="166" fontId="12" fillId="0" borderId="2" xfId="2" applyNumberFormat="1" applyFont="1" applyBorder="1" applyAlignment="1" applyProtection="1">
      <alignment horizontal="center" vertical="center"/>
      <protection locked="0"/>
    </xf>
    <xf numFmtId="166" fontId="12" fillId="0" borderId="4" xfId="2" applyNumberFormat="1" applyFont="1" applyBorder="1" applyAlignment="1" applyProtection="1">
      <alignment horizontal="center" vertical="center"/>
      <protection locked="0"/>
    </xf>
    <xf numFmtId="164" fontId="0" fillId="0" borderId="5" xfId="2" applyFont="1" applyBorder="1"/>
    <xf numFmtId="166" fontId="12" fillId="0" borderId="40" xfId="2" applyNumberFormat="1" applyFont="1" applyBorder="1" applyAlignment="1" applyProtection="1">
      <alignment horizontal="center" vertical="center"/>
      <protection locked="0"/>
    </xf>
    <xf numFmtId="164" fontId="12" fillId="0" borderId="41" xfId="2" applyFont="1" applyBorder="1" applyAlignment="1">
      <alignment horizontal="right" vertical="center"/>
    </xf>
    <xf numFmtId="169" fontId="12" fillId="0" borderId="42" xfId="2" applyNumberFormat="1" applyFont="1" applyBorder="1" applyAlignment="1">
      <alignment horizontal="center" vertical="center"/>
    </xf>
    <xf numFmtId="164" fontId="1" fillId="0" borderId="5" xfId="2" applyBorder="1"/>
    <xf numFmtId="166" fontId="12" fillId="11" borderId="43" xfId="2" applyNumberFormat="1" applyFont="1" applyFill="1" applyBorder="1" applyAlignment="1" applyProtection="1">
      <alignment horizontal="center" vertical="center"/>
      <protection locked="0"/>
    </xf>
    <xf numFmtId="169" fontId="16" fillId="0" borderId="44" xfId="2" applyNumberFormat="1" applyFont="1" applyBorder="1" applyAlignment="1">
      <alignment horizontal="center" vertical="center"/>
    </xf>
    <xf numFmtId="166" fontId="12" fillId="0" borderId="45" xfId="2" applyNumberFormat="1" applyFont="1" applyBorder="1" applyAlignment="1">
      <alignment horizontal="center" vertical="center"/>
    </xf>
    <xf numFmtId="169" fontId="12" fillId="0" borderId="27" xfId="2" applyNumberFormat="1" applyFont="1" applyBorder="1" applyAlignment="1">
      <alignment horizontal="center" vertical="center"/>
    </xf>
    <xf numFmtId="164" fontId="1" fillId="0" borderId="48" xfId="2" applyBorder="1"/>
    <xf numFmtId="166" fontId="12" fillId="0" borderId="8" xfId="2" applyNumberFormat="1" applyFont="1" applyBorder="1" applyAlignment="1" applyProtection="1">
      <alignment horizontal="center" vertical="center"/>
      <protection locked="0"/>
    </xf>
    <xf numFmtId="166" fontId="12" fillId="0" borderId="10" xfId="2" applyNumberFormat="1" applyFont="1" applyBorder="1" applyAlignment="1" applyProtection="1">
      <alignment horizontal="center" vertical="center"/>
      <protection locked="0"/>
    </xf>
    <xf numFmtId="166" fontId="12" fillId="0" borderId="37" xfId="2" applyNumberFormat="1" applyFont="1" applyBorder="1" applyAlignment="1">
      <alignment horizontal="center" vertical="center"/>
    </xf>
    <xf numFmtId="1" fontId="16" fillId="0" borderId="31" xfId="2" applyNumberFormat="1" applyFont="1" applyBorder="1" applyAlignment="1">
      <alignment horizontal="center" vertical="center"/>
    </xf>
    <xf numFmtId="164" fontId="16" fillId="11" borderId="38" xfId="2" applyFont="1" applyFill="1" applyBorder="1" applyAlignment="1">
      <alignment vertical="center" wrapText="1"/>
    </xf>
    <xf numFmtId="166" fontId="12" fillId="0" borderId="31" xfId="2" applyNumberFormat="1" applyFont="1" applyBorder="1" applyAlignment="1" applyProtection="1">
      <alignment horizontal="center" vertical="center"/>
      <protection locked="0"/>
    </xf>
    <xf numFmtId="169" fontId="25" fillId="0" borderId="42" xfId="2" applyNumberFormat="1" applyFont="1" applyBorder="1" applyAlignment="1">
      <alignment horizontal="center" vertical="center"/>
    </xf>
    <xf numFmtId="164" fontId="16" fillId="0" borderId="38" xfId="2" applyFont="1" applyBorder="1" applyAlignment="1">
      <alignment horizontal="center" vertical="center"/>
    </xf>
    <xf numFmtId="164" fontId="12" fillId="0" borderId="49" xfId="2" applyFont="1" applyBorder="1" applyAlignment="1">
      <alignment horizontal="right" vertical="center"/>
    </xf>
    <xf numFmtId="2" fontId="12" fillId="0" borderId="2" xfId="2" applyNumberFormat="1" applyFont="1" applyBorder="1" applyAlignment="1" applyProtection="1">
      <alignment horizontal="center" vertical="center"/>
      <protection locked="0"/>
    </xf>
    <xf numFmtId="169" fontId="12" fillId="0" borderId="50" xfId="2" applyNumberFormat="1" applyFont="1" applyBorder="1" applyAlignment="1">
      <alignment horizontal="center" vertical="center"/>
    </xf>
    <xf numFmtId="164" fontId="12" fillId="0" borderId="51" xfId="2" applyFont="1" applyBorder="1" applyAlignment="1">
      <alignment horizontal="right" vertical="center"/>
    </xf>
    <xf numFmtId="169" fontId="12" fillId="0" borderId="52" xfId="2" applyNumberFormat="1" applyFont="1" applyBorder="1" applyAlignment="1">
      <alignment horizontal="center" vertical="center"/>
    </xf>
    <xf numFmtId="164" fontId="12" fillId="0" borderId="53" xfId="2" applyFont="1" applyBorder="1" applyAlignment="1">
      <alignment horizontal="right" vertical="center"/>
    </xf>
    <xf numFmtId="166" fontId="12" fillId="0" borderId="6" xfId="2" applyNumberFormat="1" applyFont="1" applyBorder="1" applyAlignment="1" applyProtection="1">
      <alignment horizontal="center"/>
      <protection locked="0"/>
    </xf>
    <xf numFmtId="169" fontId="12" fillId="0" borderId="52" xfId="2" applyNumberFormat="1" applyFont="1" applyBorder="1" applyAlignment="1">
      <alignment horizontal="center"/>
    </xf>
    <xf numFmtId="169" fontId="12" fillId="0" borderId="54" xfId="2" applyNumberFormat="1" applyFont="1" applyBorder="1" applyAlignment="1">
      <alignment horizontal="center" vertical="center"/>
    </xf>
    <xf numFmtId="164" fontId="16" fillId="0" borderId="0" xfId="2" applyFont="1" applyAlignment="1">
      <alignment horizontal="right" vertical="center"/>
    </xf>
    <xf numFmtId="164" fontId="12" fillId="0" borderId="1" xfId="2" applyFont="1" applyBorder="1" applyAlignment="1">
      <alignment vertical="center"/>
    </xf>
    <xf numFmtId="166" fontId="16" fillId="0" borderId="3" xfId="2" applyNumberFormat="1" applyFont="1" applyBorder="1" applyAlignment="1">
      <alignment horizontal="center" vertical="center"/>
    </xf>
    <xf numFmtId="169" fontId="1" fillId="0" borderId="0" xfId="2" applyNumberFormat="1"/>
    <xf numFmtId="166" fontId="12" fillId="0" borderId="55" xfId="2" applyNumberFormat="1" applyFont="1" applyBorder="1" applyAlignment="1" applyProtection="1">
      <alignment horizontal="center" vertical="center"/>
      <protection locked="0"/>
    </xf>
    <xf numFmtId="169" fontId="1" fillId="0" borderId="6" xfId="2" applyNumberFormat="1" applyBorder="1" applyAlignment="1">
      <alignment horizontal="center"/>
    </xf>
    <xf numFmtId="166" fontId="12" fillId="0" borderId="45" xfId="2" applyNumberFormat="1" applyFont="1" applyBorder="1" applyAlignment="1" applyProtection="1">
      <alignment horizontal="center" vertical="center"/>
      <protection locked="0"/>
    </xf>
    <xf numFmtId="164" fontId="12" fillId="0" borderId="56" xfId="2" applyFont="1" applyBorder="1" applyAlignment="1">
      <alignment horizontal="right" vertical="center"/>
    </xf>
    <xf numFmtId="166" fontId="12" fillId="0" borderId="57" xfId="2" applyNumberFormat="1" applyFont="1" applyBorder="1" applyAlignment="1" applyProtection="1">
      <alignment horizontal="center"/>
      <protection locked="0"/>
    </xf>
    <xf numFmtId="169" fontId="1" fillId="0" borderId="37" xfId="2" applyNumberFormat="1" applyBorder="1" applyAlignment="1">
      <alignment horizontal="center"/>
    </xf>
    <xf numFmtId="169" fontId="1" fillId="0" borderId="0" xfId="2" applyNumberFormat="1" applyAlignment="1">
      <alignment horizontal="center"/>
    </xf>
    <xf numFmtId="164" fontId="12" fillId="0" borderId="6" xfId="2" applyFont="1" applyBorder="1" applyAlignment="1">
      <alignment horizontal="right" vertical="center"/>
    </xf>
    <xf numFmtId="164" fontId="28" fillId="0" borderId="6" xfId="2" applyFont="1" applyBorder="1" applyAlignment="1">
      <alignment horizontal="right" vertical="center"/>
    </xf>
    <xf numFmtId="164" fontId="16" fillId="0" borderId="48" xfId="2" applyFont="1" applyBorder="1" applyAlignment="1">
      <alignment vertical="center"/>
    </xf>
    <xf numFmtId="164" fontId="1" fillId="0" borderId="58" xfId="2" applyBorder="1" applyAlignment="1">
      <alignment horizontal="center"/>
    </xf>
    <xf numFmtId="169" fontId="1" fillId="0" borderId="59" xfId="2" applyNumberFormat="1" applyBorder="1" applyAlignment="1">
      <alignment horizontal="center"/>
    </xf>
    <xf numFmtId="164" fontId="12" fillId="0" borderId="60" xfId="2" applyFont="1" applyBorder="1" applyAlignment="1">
      <alignment horizontal="right" vertical="center"/>
    </xf>
    <xf numFmtId="2" fontId="12" fillId="0" borderId="25" xfId="2" applyNumberFormat="1" applyFont="1" applyBorder="1" applyAlignment="1">
      <alignment horizontal="center" vertical="center"/>
    </xf>
    <xf numFmtId="2" fontId="12" fillId="0" borderId="25" xfId="2" applyNumberFormat="1" applyFont="1" applyBorder="1" applyAlignment="1" applyProtection="1">
      <alignment horizontal="center" vertical="center"/>
      <protection locked="0"/>
    </xf>
    <xf numFmtId="169" fontId="25" fillId="0" borderId="61" xfId="2" applyNumberFormat="1" applyFont="1" applyBorder="1" applyAlignment="1">
      <alignment horizontal="center" vertical="center"/>
    </xf>
    <xf numFmtId="2" fontId="12" fillId="0" borderId="6" xfId="2" applyNumberFormat="1" applyFont="1" applyBorder="1" applyAlignment="1">
      <alignment horizontal="center" vertical="center"/>
    </xf>
    <xf numFmtId="2" fontId="12" fillId="0" borderId="6" xfId="2" applyNumberFormat="1" applyFont="1" applyBorder="1" applyAlignment="1" applyProtection="1">
      <alignment horizontal="center" vertical="center"/>
      <protection locked="0"/>
    </xf>
    <xf numFmtId="169" fontId="25" fillId="0" borderId="40" xfId="2" applyNumberFormat="1" applyFont="1" applyBorder="1" applyAlignment="1">
      <alignment horizontal="center" vertical="center"/>
    </xf>
    <xf numFmtId="169" fontId="25" fillId="0" borderId="62" xfId="2" applyNumberFormat="1" applyFont="1" applyBorder="1" applyAlignment="1">
      <alignment horizontal="center" vertical="center"/>
    </xf>
    <xf numFmtId="2" fontId="12" fillId="0" borderId="37" xfId="2" applyNumberFormat="1" applyFont="1" applyBorder="1" applyAlignment="1">
      <alignment horizontal="center" vertical="center"/>
    </xf>
    <xf numFmtId="2" fontId="12" fillId="0" borderId="18" xfId="2" applyNumberFormat="1" applyFont="1" applyBorder="1" applyAlignment="1" applyProtection="1">
      <alignment horizontal="center" vertical="center"/>
      <protection locked="0"/>
    </xf>
    <xf numFmtId="164" fontId="12" fillId="0" borderId="35" xfId="2" applyFont="1" applyBorder="1" applyAlignment="1">
      <alignment vertical="center"/>
    </xf>
    <xf numFmtId="2" fontId="12" fillId="0" borderId="63" xfId="2" applyNumberFormat="1" applyFont="1" applyBorder="1" applyAlignment="1">
      <alignment horizontal="center" vertical="center"/>
    </xf>
    <xf numFmtId="2" fontId="12" fillId="0" borderId="31" xfId="2" applyNumberFormat="1" applyFont="1" applyBorder="1" applyAlignment="1">
      <alignment horizontal="center" vertical="center"/>
    </xf>
    <xf numFmtId="2" fontId="12" fillId="0" borderId="64" xfId="2" applyNumberFormat="1" applyFont="1" applyBorder="1" applyAlignment="1">
      <alignment horizontal="center" vertical="center"/>
    </xf>
    <xf numFmtId="169" fontId="25" fillId="0" borderId="35" xfId="2" applyNumberFormat="1" applyFont="1" applyBorder="1" applyAlignment="1">
      <alignment horizontal="center" vertical="center"/>
    </xf>
    <xf numFmtId="2" fontId="1" fillId="0" borderId="0" xfId="2" applyNumberFormat="1" applyAlignment="1">
      <alignment horizontal="center"/>
    </xf>
    <xf numFmtId="2" fontId="12" fillId="0" borderId="2" xfId="2" applyNumberFormat="1" applyFont="1" applyBorder="1" applyAlignment="1">
      <alignment horizontal="center" vertical="center"/>
    </xf>
    <xf numFmtId="169" fontId="29" fillId="0" borderId="4" xfId="2" applyNumberFormat="1" applyFont="1" applyBorder="1" applyAlignment="1">
      <alignment horizontal="center" vertical="center"/>
    </xf>
    <xf numFmtId="169" fontId="29" fillId="0" borderId="40" xfId="2" applyNumberFormat="1" applyFont="1" applyBorder="1" applyAlignment="1">
      <alignment horizontal="center" vertical="center"/>
    </xf>
    <xf numFmtId="169" fontId="29" fillId="0" borderId="62" xfId="2" applyNumberFormat="1" applyFont="1" applyBorder="1" applyAlignment="1">
      <alignment horizontal="center" vertical="center"/>
    </xf>
    <xf numFmtId="164" fontId="12" fillId="0" borderId="63" xfId="2" applyFont="1" applyBorder="1" applyAlignment="1">
      <alignment horizontal="right" vertical="center"/>
    </xf>
    <xf numFmtId="169" fontId="1" fillId="0" borderId="65" xfId="2" applyNumberFormat="1" applyBorder="1" applyAlignment="1">
      <alignment horizontal="center"/>
    </xf>
    <xf numFmtId="164" fontId="16" fillId="0" borderId="49" xfId="2" applyFont="1" applyBorder="1" applyAlignment="1">
      <alignment vertical="center"/>
    </xf>
    <xf numFmtId="2" fontId="30" fillId="0" borderId="2" xfId="2" applyNumberFormat="1" applyFont="1" applyBorder="1" applyAlignment="1">
      <alignment horizontal="center" vertical="center"/>
    </xf>
    <xf numFmtId="2" fontId="30" fillId="0" borderId="4" xfId="2" applyNumberFormat="1" applyFont="1" applyBorder="1" applyAlignment="1">
      <alignment horizontal="center" vertical="center"/>
    </xf>
    <xf numFmtId="164" fontId="16" fillId="0" borderId="60" xfId="2" applyFont="1" applyBorder="1" applyAlignment="1">
      <alignment vertical="center"/>
    </xf>
    <xf numFmtId="2" fontId="30" fillId="0" borderId="25" xfId="2" applyNumberFormat="1" applyFont="1" applyBorder="1" applyAlignment="1">
      <alignment horizontal="center" vertical="center"/>
    </xf>
    <xf numFmtId="2" fontId="30" fillId="0" borderId="61" xfId="2" applyNumberFormat="1" applyFont="1" applyBorder="1" applyAlignment="1">
      <alignment horizontal="center" vertical="center"/>
    </xf>
    <xf numFmtId="164" fontId="1" fillId="0" borderId="66" xfId="2" applyBorder="1" applyAlignment="1">
      <alignment horizontal="center"/>
    </xf>
    <xf numFmtId="164" fontId="16" fillId="0" borderId="51" xfId="2" applyFont="1" applyBorder="1" applyAlignment="1">
      <alignment vertical="center"/>
    </xf>
    <xf numFmtId="2" fontId="30" fillId="0" borderId="6" xfId="2" applyNumberFormat="1" applyFont="1" applyBorder="1" applyAlignment="1">
      <alignment horizontal="center" vertical="center"/>
    </xf>
    <xf numFmtId="2" fontId="30" fillId="0" borderId="40" xfId="2" applyNumberFormat="1" applyFont="1" applyBorder="1" applyAlignment="1">
      <alignment horizontal="center" vertical="center"/>
    </xf>
    <xf numFmtId="164" fontId="16" fillId="0" borderId="67" xfId="2" applyFont="1" applyBorder="1" applyAlignment="1">
      <alignment vertical="center"/>
    </xf>
    <xf numFmtId="2" fontId="30" fillId="0" borderId="8" xfId="2" applyNumberFormat="1" applyFont="1" applyBorder="1" applyAlignment="1">
      <alignment horizontal="center" vertical="center"/>
    </xf>
    <xf numFmtId="2" fontId="30" fillId="0" borderId="10" xfId="2" applyNumberFormat="1" applyFont="1" applyBorder="1" applyAlignment="1">
      <alignment horizontal="center" vertical="center"/>
    </xf>
    <xf numFmtId="164" fontId="12" fillId="12" borderId="6" xfId="2" applyFont="1" applyFill="1" applyBorder="1" applyAlignment="1">
      <alignment vertical="center"/>
    </xf>
    <xf numFmtId="1" fontId="1" fillId="12" borderId="6" xfId="2" applyNumberFormat="1" applyFill="1" applyBorder="1"/>
    <xf numFmtId="20" fontId="31" fillId="12" borderId="6" xfId="2" applyNumberFormat="1" applyFont="1" applyFill="1" applyBorder="1" applyAlignment="1">
      <alignment horizontal="center"/>
    </xf>
    <xf numFmtId="164" fontId="1" fillId="0" borderId="0" xfId="2" applyAlignment="1">
      <alignment horizontal="left"/>
    </xf>
    <xf numFmtId="164" fontId="32" fillId="14" borderId="0" xfId="2" applyFont="1" applyFill="1"/>
    <xf numFmtId="164" fontId="1" fillId="15" borderId="0" xfId="2" applyFill="1" applyProtection="1">
      <protection locked="0"/>
    </xf>
    <xf numFmtId="164" fontId="16" fillId="0" borderId="0" xfId="2" applyFont="1" applyAlignment="1">
      <alignment vertical="top" wrapText="1"/>
    </xf>
    <xf numFmtId="20" fontId="12" fillId="0" borderId="37" xfId="2" applyNumberFormat="1" applyFont="1" applyBorder="1" applyAlignment="1">
      <alignment vertical="center"/>
    </xf>
    <xf numFmtId="167" fontId="12" fillId="0" borderId="68" xfId="2" applyNumberFormat="1" applyFont="1" applyBorder="1" applyAlignment="1">
      <alignment vertical="center"/>
    </xf>
    <xf numFmtId="167" fontId="12" fillId="0" borderId="37" xfId="2" applyNumberFormat="1" applyFont="1" applyBorder="1" applyAlignment="1">
      <alignment vertical="center"/>
    </xf>
    <xf numFmtId="167" fontId="12" fillId="0" borderId="19" xfId="2" applyNumberFormat="1" applyFont="1" applyBorder="1" applyAlignment="1">
      <alignment vertical="center"/>
    </xf>
    <xf numFmtId="1" fontId="1" fillId="0" borderId="0" xfId="2" applyNumberFormat="1" applyAlignment="1">
      <alignment horizontal="center"/>
    </xf>
    <xf numFmtId="165" fontId="1" fillId="15" borderId="0" xfId="2" applyNumberFormat="1" applyFill="1" applyProtection="1">
      <protection locked="0"/>
    </xf>
    <xf numFmtId="164" fontId="1" fillId="0" borderId="6" xfId="2" applyBorder="1"/>
    <xf numFmtId="166" fontId="1" fillId="0" borderId="6" xfId="2" applyNumberFormat="1" applyBorder="1" applyAlignment="1">
      <alignment horizontal="center"/>
    </xf>
    <xf numFmtId="2" fontId="1" fillId="0" borderId="6" xfId="2" applyNumberFormat="1" applyBorder="1" applyAlignment="1">
      <alignment horizontal="center"/>
    </xf>
    <xf numFmtId="166" fontId="12" fillId="16" borderId="25" xfId="2" applyNumberFormat="1" applyFont="1" applyFill="1" applyBorder="1" applyAlignment="1" applyProtection="1">
      <alignment horizontal="center" vertical="center"/>
      <protection locked="0"/>
    </xf>
    <xf numFmtId="166" fontId="12" fillId="0" borderId="55" xfId="3" applyNumberFormat="1" applyFont="1" applyBorder="1" applyAlignment="1" applyProtection="1">
      <alignment horizontal="center" vertical="center"/>
      <protection locked="0"/>
    </xf>
    <xf numFmtId="166" fontId="12" fillId="0" borderId="26" xfId="3" applyNumberFormat="1" applyFont="1" applyBorder="1" applyAlignment="1" applyProtection="1">
      <alignment horizontal="center" vertical="center"/>
      <protection locked="0"/>
    </xf>
    <xf numFmtId="166" fontId="12" fillId="0" borderId="45" xfId="3" applyNumberFormat="1" applyFont="1" applyBorder="1" applyAlignment="1" applyProtection="1">
      <alignment horizontal="center" vertical="center"/>
      <protection locked="0"/>
    </xf>
    <xf numFmtId="166" fontId="12" fillId="0" borderId="57" xfId="3" applyNumberFormat="1" applyFont="1" applyBorder="1" applyAlignment="1" applyProtection="1">
      <alignment horizontal="center"/>
      <protection locked="0"/>
    </xf>
    <xf numFmtId="166" fontId="12" fillId="0" borderId="6" xfId="3" applyNumberFormat="1" applyFont="1" applyBorder="1" applyAlignment="1" applyProtection="1">
      <alignment horizontal="center"/>
      <protection locked="0"/>
    </xf>
    <xf numFmtId="166" fontId="16" fillId="11" borderId="46" xfId="2" applyNumberFormat="1" applyFont="1" applyFill="1" applyBorder="1" applyAlignment="1">
      <alignment horizontal="center" vertical="center"/>
    </xf>
    <xf numFmtId="166" fontId="16" fillId="11" borderId="47" xfId="2" applyNumberFormat="1" applyFont="1" applyFill="1" applyBorder="1" applyAlignment="1">
      <alignment horizontal="center" vertical="center"/>
    </xf>
    <xf numFmtId="164" fontId="32" fillId="13" borderId="0" xfId="2" applyFont="1" applyFill="1" applyAlignment="1">
      <alignment horizontal="center"/>
    </xf>
    <xf numFmtId="167" fontId="12" fillId="0" borderId="19" xfId="2" applyNumberFormat="1" applyFont="1" applyBorder="1" applyAlignment="1">
      <alignment horizontal="center" vertical="center"/>
    </xf>
    <xf numFmtId="167" fontId="12" fillId="0" borderId="22" xfId="2" applyNumberFormat="1" applyFont="1" applyBorder="1" applyAlignment="1">
      <alignment horizontal="center" vertical="center"/>
    </xf>
    <xf numFmtId="168" fontId="24" fillId="8" borderId="20" xfId="2" applyNumberFormat="1" applyFont="1" applyFill="1" applyBorder="1" applyAlignment="1">
      <alignment horizontal="center" vertical="center" wrapText="1"/>
    </xf>
    <xf numFmtId="168" fontId="24" fillId="8" borderId="23" xfId="2" applyNumberFormat="1" applyFont="1" applyFill="1" applyBorder="1" applyAlignment="1">
      <alignment horizontal="center" vertical="center" wrapText="1"/>
    </xf>
    <xf numFmtId="167" fontId="12" fillId="7" borderId="19" xfId="2" applyNumberFormat="1" applyFont="1" applyFill="1" applyBorder="1" applyAlignment="1">
      <alignment horizontal="center" vertical="center"/>
    </xf>
    <xf numFmtId="167" fontId="12" fillId="7" borderId="22" xfId="2" applyNumberFormat="1" applyFont="1" applyFill="1" applyBorder="1" applyAlignment="1">
      <alignment horizontal="center" vertical="center"/>
    </xf>
    <xf numFmtId="167" fontId="12" fillId="0" borderId="18" xfId="2" applyNumberFormat="1" applyFont="1" applyBorder="1" applyAlignment="1">
      <alignment horizontal="center" vertical="center"/>
    </xf>
    <xf numFmtId="2" fontId="23" fillId="0" borderId="13" xfId="2" applyNumberFormat="1" applyFont="1" applyBorder="1" applyAlignment="1">
      <alignment horizontal="center" vertical="center"/>
    </xf>
    <xf numFmtId="2" fontId="23" fillId="0" borderId="14" xfId="2" applyNumberFormat="1" applyFont="1" applyBorder="1" applyAlignment="1">
      <alignment horizontal="center" vertical="center"/>
    </xf>
    <xf numFmtId="2" fontId="23" fillId="0" borderId="15" xfId="2" applyNumberFormat="1" applyFont="1" applyBorder="1" applyAlignment="1">
      <alignment horizontal="center" vertical="center"/>
    </xf>
    <xf numFmtId="164" fontId="16" fillId="0" borderId="17" xfId="2" applyFont="1" applyBorder="1" applyAlignment="1">
      <alignment horizontal="left" vertical="top" wrapText="1"/>
    </xf>
    <xf numFmtId="164" fontId="16" fillId="0" borderId="21" xfId="2" applyFont="1" applyBorder="1" applyAlignment="1">
      <alignment horizontal="left" vertical="top" wrapText="1"/>
    </xf>
    <xf numFmtId="164" fontId="15" fillId="4" borderId="11" xfId="2" applyFont="1" applyFill="1" applyBorder="1" applyAlignment="1">
      <alignment horizontal="left" vertical="center"/>
    </xf>
    <xf numFmtId="164" fontId="15" fillId="4" borderId="11" xfId="2" applyFont="1" applyFill="1" applyBorder="1" applyAlignment="1">
      <alignment horizontal="center" vertical="center"/>
    </xf>
    <xf numFmtId="2" fontId="22" fillId="0" borderId="13" xfId="2" applyNumberFormat="1" applyFont="1" applyBorder="1" applyAlignment="1">
      <alignment horizontal="center" vertical="center"/>
    </xf>
    <xf numFmtId="2" fontId="22" fillId="0" borderId="14" xfId="2" applyNumberFormat="1" applyFont="1" applyBorder="1" applyAlignment="1">
      <alignment horizontal="center" vertical="center"/>
    </xf>
    <xf numFmtId="2" fontId="22" fillId="0" borderId="15" xfId="2" applyNumberFormat="1" applyFont="1" applyBorder="1" applyAlignment="1">
      <alignment horizontal="center" vertical="center"/>
    </xf>
    <xf numFmtId="164" fontId="4" fillId="0" borderId="0" xfId="2" applyFont="1" applyAlignment="1">
      <alignment horizontal="center" vertical="center" wrapText="1"/>
    </xf>
    <xf numFmtId="164" fontId="5" fillId="2" borderId="0" xfId="2" applyFont="1" applyFill="1" applyAlignment="1">
      <alignment horizontal="center" vertical="center"/>
    </xf>
    <xf numFmtId="164" fontId="4" fillId="0" borderId="1" xfId="2" applyFont="1" applyBorder="1" applyAlignment="1">
      <alignment horizontal="center" vertical="center"/>
    </xf>
    <xf numFmtId="164" fontId="4" fillId="0" borderId="7" xfId="2" applyFont="1" applyBorder="1" applyAlignment="1">
      <alignment horizontal="center" vertical="center"/>
    </xf>
    <xf numFmtId="164" fontId="4" fillId="0" borderId="3" xfId="2" applyFont="1" applyBorder="1" applyAlignment="1">
      <alignment horizontal="center" vertical="center"/>
    </xf>
    <xf numFmtId="164" fontId="4" fillId="0" borderId="9" xfId="2" applyFont="1" applyBorder="1" applyAlignment="1">
      <alignment horizontal="center" vertical="center"/>
    </xf>
    <xf numFmtId="164" fontId="1" fillId="0" borderId="5" xfId="2" applyBorder="1" applyAlignment="1">
      <alignment horizontal="center" textRotation="90"/>
    </xf>
  </cellXfs>
  <cellStyles count="5">
    <cellStyle name="Comma" xfId="1" builtinId="3"/>
    <cellStyle name="Normal" xfId="0" builtinId="0"/>
    <cellStyle name="Normal 2" xfId="2" xr:uid="{05DC82B3-C3D6-4E9B-9A38-11DCD6414B64}"/>
    <cellStyle name="Normal 2 2" xfId="3" xr:uid="{A7905A53-2DA5-4793-8AEC-3FAC0D82AB5A}"/>
    <cellStyle name="Normal 2 5" xfId="4" xr:uid="{DB9972DC-6349-4992-8A80-55A0D45E3D59}"/>
  </cellStyles>
  <dxfs count="3991"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51E2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65-49F2-BD8F-D1B23AB0E8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65-49F2-BD8F-D1B23AB0E8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965-49F2-BD8F-D1B23AB0E8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965-49F2-BD8F-D1B23AB0E8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65-49F2-BD8F-D1B23AB0E89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965-49F2-BD8F-D1B23AB0E89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EF9-40DF-A35E-3F29967C4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59-4E33-AA31-B998980C8A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59-4E33-AA31-B998980C8A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59-4E33-AA31-B998980C8A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59-4E33-AA31-B998980C8A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59-4E33-AA31-B998980C8A1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F59-4E33-AA31-B998980C8A1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51A-4572-899A-B4863154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21-4BD3-BEAB-218FC36FDA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21-4BD3-BEAB-218FC36FDA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821-4BD3-BEAB-218FC36FDA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821-4BD3-BEAB-218FC36FDA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821-4BD3-BEAB-218FC36FDA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821-4BD3-BEAB-218FC36FDA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4DE-493B-89E1-1E0065CA0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3B-4FB9-AF7B-B2604849A9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3B-4FB9-AF7B-B2604849A9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3B-4FB9-AF7B-B2604849A9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3B-4FB9-AF7B-B2604849A9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3B-4FB9-AF7B-B2604849A91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23B-4FB9-AF7B-B2604849A91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A50-4AAE-8B09-18E41B6DD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9F-4211-A444-8115EA0FF7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9F-4211-A444-8115EA0FF7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9F-4211-A444-8115EA0FF7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9F-4211-A444-8115EA0FF7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9F-4211-A444-8115EA0FF78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FE9F-4211-A444-8115EA0FF78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D0A-483B-B9E0-DEE8D566C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FA-4D5D-B3A2-C30EAAB4F4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FA-4D5D-B3A2-C30EAAB4F4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4FA-4D5D-B3A2-C30EAAB4F4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4FA-4D5D-B3A2-C30EAAB4F4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4FA-4D5D-B3A2-C30EAAB4F4B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74FA-4D5D-B3A2-C30EAAB4F4B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040-46D5-BBBB-531FBB045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28-46E1-A5B5-A7A57F2688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28-46E1-A5B5-A7A57F26886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228-46E1-A5B5-A7A57F2688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228-46E1-A5B5-A7A57F2688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228-46E1-A5B5-A7A57F26886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228-46E1-A5B5-A7A57F26886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B1-44D4-B172-09A3345A0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1D5-40E8-99AB-AE20049C4E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1D5-40E8-99AB-AE20049C4E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1D5-40E8-99AB-AE20049C4E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1D5-40E8-99AB-AE20049C4E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1D5-40E8-99AB-AE20049C4EF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1D5-40E8-99AB-AE20049C4EF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0D2-46E0-99A3-010B6645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3A-42BB-B072-29655B13B3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3A-42BB-B072-29655B13B3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A-42BB-B072-29655B13B3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A-42BB-B072-29655B13B34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73A-42BB-B072-29655B13B34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73A-42BB-B072-29655B13B34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85B-44FE-81A5-CF5CE36C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3D-4D7A-BD22-41CDC91D2F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3D-4D7A-BD22-41CDC91D2F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3D-4D7A-BD22-41CDC91D2F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3D-4D7A-BD22-41CDC91D2F3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3D-4D7A-BD22-41CDC91D2F3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763D-4D7A-BD22-41CDC91D2F3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3A-4740-B70C-2D199E7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C1-425A-B110-2AAF197E1E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DC1-425A-B110-2AAF197E1E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DC1-425A-B110-2AAF197E1E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DC1-425A-B110-2AAF197E1E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DC1-425A-B110-2AAF197E1E1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DC1-425A-B110-2AAF197E1E1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4D1-4FD1-B477-FAD4B62B1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03-48DB-AFB5-A906A5CF723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03-48DB-AFB5-A906A5CF72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603-48DB-AFB5-A906A5CF723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603-48DB-AFB5-A906A5CF723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603-48DB-AFB5-A906A5CF723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603-48DB-AFB5-A906A5CF723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149-4818-9E6A-B92730BB0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97-4A22-BD4D-E159398D58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97-4A22-BD4D-E159398D58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697-4A22-BD4D-E159398D58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697-4A22-BD4D-E159398D58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697-4A22-BD4D-E159398D58D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697-4A22-BD4D-E159398D58D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01D-45EA-B702-53D9AE6E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253-46F2-9AED-820F80F0EC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253-46F2-9AED-820F80F0EC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253-46F2-9AED-820F80F0EC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253-46F2-9AED-820F80F0EC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253-46F2-9AED-820F80F0EC0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3253-46F2-9AED-820F80F0EC0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10-4D2D-9363-AE3606D1F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CDA-4F0F-B023-53BAAB10F2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CDA-4F0F-B023-53BAAB10F2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CDA-4F0F-B023-53BAAB10F2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CDA-4F0F-B023-53BAAB10F26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CDA-4F0F-B023-53BAAB10F2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CDA-4F0F-B023-53BAAB10F2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1F5-48E7-B15E-A8D0A0C29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14-4343-8BF2-652CB1BC33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14-4343-8BF2-652CB1BC33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814-4343-8BF2-652CB1BC33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814-4343-8BF2-652CB1BC33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814-4343-8BF2-652CB1BC33D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814-4343-8BF2-652CB1BC33D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A1C-4C43-A8AB-36229C607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B2-45FF-8F70-BAD8902E84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B2-45FF-8F70-BAD8902E84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B2-45FF-8F70-BAD8902E84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DB2-45FF-8F70-BAD8902E84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DB2-45FF-8F70-BAD8902E84E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DB2-45FF-8F70-BAD8902E84E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1F-43F4-AD3E-40AB1314F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9D-40D8-ACFC-C9ADCED676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9D-40D8-ACFC-C9ADCED676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9D-40D8-ACFC-C9ADCED676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19D-40D8-ACFC-C9ADCED6760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19D-40D8-ACFC-C9ADCED6760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19D-40D8-ACFC-C9ADCED6760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12-4615-B2AF-DC16F82C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70-477B-ABFE-C120ACF0A6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70-477B-ABFE-C120ACF0A6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70-477B-ABFE-C120ACF0A6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70-477B-ABFE-C120ACF0A6A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F70-477B-ABFE-C120ACF0A6A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2F70-477B-ABFE-C120ACF0A6A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F6B-4539-B948-300BF9B99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7E3-4871-909A-F70F757B21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7E3-4871-909A-F70F757B21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7E3-4871-909A-F70F757B21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E3-4871-909A-F70F757B214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E3-4871-909A-F70F757B214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37E3-4871-909A-F70F757B214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B6-41CE-8681-E39A9EB41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BE6-445D-BE34-94082BA8F5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BE6-445D-BE34-94082BA8F5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BE6-445D-BE34-94082BA8F5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BE6-445D-BE34-94082BA8F5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BE6-445D-BE34-94082BA8F5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BE6-445D-BE34-94082BA8F5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B4-4A29-8A98-B92E6FF8A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E8-42E3-810F-330D6DE9C3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E8-42E3-810F-330D6DE9C3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E8-42E3-810F-330D6DE9C3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AE8-42E3-810F-330D6DE9C3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AE8-42E3-810F-330D6DE9C3E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AE8-42E3-810F-330D6DE9C3E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42-4B4F-8FD1-D8935B638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C6-40B6-9F48-404C767089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C6-40B6-9F48-404C767089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8C6-40B6-9F48-404C767089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8C6-40B6-9F48-404C767089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C6-40B6-9F48-404C767089B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8C6-40B6-9F48-404C767089B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760-4FF0-BC40-B229AE90C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68-435D-B75B-2998C09202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68-435D-B75B-2998C09202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68-435D-B75B-2998C09202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68-435D-B75B-2998C092023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68-435D-B75B-2998C092023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E68-435D-B75B-2998C092023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8-4BDD-A036-5EF9FF41D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8-475F-AD5A-0EC1B79035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8-475F-AD5A-0EC1B79035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8-475F-AD5A-0EC1B79035E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8-475F-AD5A-0EC1B79035E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8-475F-AD5A-0EC1B79035E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FE78-475F-AD5A-0EC1B79035E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508-4172-BD11-129AB2D1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35E-4361-94FD-C0BCBF9E31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35E-4361-94FD-C0BCBF9E31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35E-4361-94FD-C0BCBF9E31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35E-4361-94FD-C0BCBF9E31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35E-4361-94FD-C0BCBF9E31B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35E-4361-94FD-C0BCBF9E31B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540-408D-8E76-3C8947916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0AB-425D-A28E-608430300C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0AB-425D-A28E-608430300C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AB-425D-A28E-608430300C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AB-425D-A28E-608430300C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0AB-425D-A28E-608430300C0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0AB-425D-A28E-608430300C0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2D1-46A4-A452-A0BBE87DB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32D-4CFC-941F-B65B79457C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32D-4CFC-941F-B65B79457C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32D-4CFC-941F-B65B79457C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2D-4CFC-941F-B65B79457C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32D-4CFC-941F-B65B79457C0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32D-4CFC-941F-B65B79457C0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993-4F98-B0ED-66418538C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0C-40AD-955C-067B2AAA11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0C-40AD-955C-067B2AAA11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0C-40AD-955C-067B2AAA11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0C-40AD-955C-067B2AAA11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0C-40AD-955C-067B2AAA114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AD0C-40AD-955C-067B2AAA114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5B-4997-8A1B-DF7AA3EC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745-4F75-9C1F-11CFBCF6B2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745-4F75-9C1F-11CFBCF6B2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745-4F75-9C1F-11CFBCF6B2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45-4F75-9C1F-11CFBCF6B2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45-4F75-9C1F-11CFBCF6B2B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3745-4F75-9C1F-11CFBCF6B2B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13E-4337-AE24-872FF06FC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D1-4626-965A-EEB149707D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D1-4626-965A-EEB149707D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8D1-4626-965A-EEB149707D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8D1-4626-965A-EEB149707D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D1-4626-965A-EEB149707D4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8D1-4626-965A-EEB149707D4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4A6-4680-8062-98CECC908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B31-431C-BE47-2A92BA9679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B31-431C-BE47-2A92BA9679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31-431C-BE47-2A92BA9679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31-431C-BE47-2A92BA9679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31-431C-BE47-2A92BA9679B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B31-431C-BE47-2A92BA9679B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FD-44DD-A85D-F466035B5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8C-4920-87E5-716FEAB79A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8C-4920-87E5-716FEAB79A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8C-4920-87E5-716FEAB79A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8C-4920-87E5-716FEAB79A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8C-4920-87E5-716FEAB79A6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A8C-4920-87E5-716FEAB79A6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F0-4C79-B459-0168005AB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B0D1B9-B3E7-4132-83F5-A50A104F6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37F1A9-68C8-4BDE-B6AA-B62B702D3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546493-6943-4678-9C1A-596626907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FA6E9-C666-4536-84E9-E83A05552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A9FC6D-CBA6-442F-B51B-C46519670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BE5622-1CB3-4E4A-B527-BD21C8DAB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18E04E-6EFD-4221-AD03-B8CE673DB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815BEC-ACD5-44C5-B820-A7467AAA7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0448E0-B708-4485-A10D-2D8CA7753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EACE62-40F9-4247-9CEA-76D5FB566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65602E-CBF5-4C3D-8E6D-4D2DC29F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D069D2-4075-404A-9869-6FA9A0505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81F2DF-F9A2-4DAA-BE71-721A78C6C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5DD064-44AA-43FC-90BF-F7E23C182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EA5548-E751-471A-9D5D-411D7E8346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691232-DBDD-4BA4-9E83-943FFC19D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2C618E-548D-4B5B-83C1-372CE8515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52E847-968F-4127-9E3A-EC8F4D1C6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B67D14-62D3-4283-A946-9D4133F9B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2AD873-85F3-4512-B5E8-ECF098A09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975DA9-6D8F-4BF9-AE46-92A519EFF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607FFE-001C-47F3-912D-5701B2F80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D193B-9647-44CB-9F87-EE616E8D6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DAE6A4-A7A5-4C37-B6FF-957E50FC6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544E8C-C799-40F8-B48E-1C3C5F9C2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270F2B-D7EA-40EA-A87E-C6556637D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3EAC95-EF74-436F-810B-901ADA37C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3A647A-2B80-41EE-A626-C6BFFD622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ABCA4F-5799-47AF-879C-BFB827C06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11CA0D-763F-4FDB-8C4F-B8F0E3B32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3E198A-9F88-40FE-9001-273D68D7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032F67-3EEF-44B9-8FF2-D18A7E6BC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820FE3-19B0-4DD9-85C8-270548A50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78213E-29F1-4025-832C-86BC7DFEF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CB278E-7F86-4513-A84B-4C6A7F03A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275576-5FFF-4BD7-BE39-82D1B0498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51A945-B28E-473A-BBD2-147BD2E24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F99CF5-17C2-4261-B795-08FF6A4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13C934-7D06-4C53-BBCD-3B01A1B47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493BC3-0DEA-4AA5-B8EC-519DFD500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52A4E-D44D-4DD9-BCD8-08F12B071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49681-F163-494B-B433-99A4A660B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612FDA-B08B-4F97-A67B-CF5E187AD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456E36-FA5D-4C65-BAD5-47673887F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FD7CD3-3E3C-4BA3-80F1-C19BEECC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AF1155-A82A-4028-9C01-6A3AB76D77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82961F-B9BC-4645-8EA9-EE78DFDFBF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CBE11E-FDB9-4377-8884-63771AD9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FE39A5-3273-4ED5-8F1C-769E76492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09E857-DD4B-435F-BBCB-637A86EEA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BF4A95-E802-4659-BBFF-C79E7A0F7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2A9EBD-953F-42D0-965C-6A0047BE4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8B739F-8DA8-4B5B-9C36-D2E37A733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3328DB-FB67-4022-9AFA-11B0D51FF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F0A29-99AB-4C48-97AB-4AF9AE62D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DD5591-827A-4E1D-BFD7-23423BC5A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99579E-D8AC-4725-B017-7AD532FB9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2DE406-590E-4B23-BDE4-8C6ACEEE5F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78E559-8A17-43A0-B39C-24BF3074B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C9DED7-706F-4CFA-8870-5DC323E79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05E8D5-75E7-48C9-BE11-5BF39DFF1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309B1D-21B4-4446-BCA4-9312EBDA2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F0FDA8-651F-4060-B677-5FE99973B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0B4AA7-B262-4E84-92B8-A1988BC05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7DA497-A0D9-4C76-BE62-F9A0A7728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1C7767-0499-47F3-BEB3-6288C89D3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TA\0%20Data_Collection%2075\Daily_Log_Sheets\Log%20Sheet%202079\Daily-Logsheet-2079-09-Poush.xlsx" TargetMode="External"/><Relationship Id="rId1" Type="http://schemas.openxmlformats.org/officeDocument/2006/relationships/externalLinkPath" Target="/DATA/0%20Data_Collection%2075/Daily_Log_Sheets/Log%20Sheet%202079/Daily-Logsheet-2079-09-Pou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magh1"/>
      <sheetName val="sample"/>
      <sheetName val="Feedback"/>
    </sheetNames>
    <sheetDataSet>
      <sheetData sheetId="0"/>
      <sheetData sheetId="1"/>
      <sheetData sheetId="2"/>
      <sheetData sheetId="3">
        <row r="240">
          <cell r="A240" t="str">
            <v>IPP</v>
          </cell>
          <cell r="B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</row>
        <row r="241">
          <cell r="A241" t="str">
            <v>NEA(RoR+PRoR)</v>
          </cell>
          <cell r="B241"/>
          <cell r="U241">
            <v>4.1666666666666664E-2</v>
          </cell>
          <cell r="V241">
            <v>8.3333333333333301E-2</v>
          </cell>
          <cell r="W241">
            <v>0.125</v>
          </cell>
          <cell r="X241">
            <v>0.16666666666666699</v>
          </cell>
          <cell r="Y241">
            <v>0.20833333333333301</v>
          </cell>
          <cell r="Z241">
            <v>0.22916666666666666</v>
          </cell>
          <cell r="AA241">
            <v>0.25</v>
          </cell>
          <cell r="AB241">
            <v>0.27083333333333331</v>
          </cell>
          <cell r="AC241">
            <v>0.29166666666666669</v>
          </cell>
          <cell r="AD241">
            <v>0.3125</v>
          </cell>
          <cell r="AE241">
            <v>0.33333333333333331</v>
          </cell>
          <cell r="AF241">
            <v>0.375</v>
          </cell>
          <cell r="AG241">
            <v>0.41666666666666702</v>
          </cell>
          <cell r="AH241">
            <v>0.45833333333333298</v>
          </cell>
          <cell r="AI241">
            <v>0.5</v>
          </cell>
          <cell r="AJ241">
            <v>0.54166666666666696</v>
          </cell>
          <cell r="AK241">
            <v>0.58333333333333304</v>
          </cell>
          <cell r="AL241">
            <v>0.625</v>
          </cell>
          <cell r="AM241">
            <v>0.66666666666666696</v>
          </cell>
          <cell r="AN241">
            <v>0.70833333333333304</v>
          </cell>
          <cell r="AO241">
            <v>0.72916666666666663</v>
          </cell>
          <cell r="AP241">
            <v>0.75</v>
          </cell>
          <cell r="AQ241">
            <v>0.77083333333333337</v>
          </cell>
          <cell r="AR241">
            <v>0.79166666666666663</v>
          </cell>
          <cell r="AS241">
            <v>0.8125</v>
          </cell>
          <cell r="AT241">
            <v>0.83333333333333337</v>
          </cell>
          <cell r="AU241">
            <v>0.85416666666666663</v>
          </cell>
          <cell r="AV241">
            <v>0.875</v>
          </cell>
          <cell r="AW241">
            <v>0.91666666666666696</v>
          </cell>
          <cell r="AX241">
            <v>0.95833333333333304</v>
          </cell>
        </row>
        <row r="242">
          <cell r="A242" t="str">
            <v>KL1+KL2+KL3</v>
          </cell>
          <cell r="B242"/>
          <cell r="S242" t="str">
            <v>T_Load</v>
          </cell>
        </row>
        <row r="243">
          <cell r="A243" t="str">
            <v>Import</v>
          </cell>
          <cell r="B243"/>
        </row>
        <row r="244">
          <cell r="A244" t="str">
            <v>Export</v>
          </cell>
          <cell r="B244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E1357-9DE0-471A-B023-68D34BE539E4}">
  <sheetPr codeName="Sheet1"/>
  <dimension ref="A1:CJ281"/>
  <sheetViews>
    <sheetView workbookViewId="0">
      <pane xSplit="1" ySplit="10" topLeftCell="B5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M29" sqref="M29:AF2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2080/05/0</v>
      </c>
      <c r="C4" s="196"/>
      <c r="D4" s="196"/>
      <c r="E4" s="197" t="str">
        <f ca="1">"2079/"&amp;"12/"&amp;INT(MID(CELL("filename",G6),FIND("]",CELL("filename",G6))+1,200))</f>
        <v>2079/12/0</v>
      </c>
      <c r="F4" s="197"/>
      <c r="G4" s="197"/>
      <c r="H4" s="197" t="str">
        <f ca="1">TEXT(E4,"dddd")</f>
        <v>2079/12/0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11.4</v>
      </c>
      <c r="C5" s="30">
        <f t="shared" si="0"/>
        <v>22.4</v>
      </c>
      <c r="D5" s="30">
        <f t="shared" si="0"/>
        <v>11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6.4</v>
      </c>
      <c r="Z5" s="30">
        <f t="shared" si="0"/>
        <v>36</v>
      </c>
      <c r="AA5" s="30">
        <f t="shared" si="0"/>
        <v>40</v>
      </c>
      <c r="AB5" s="30">
        <f t="shared" si="0"/>
        <v>40</v>
      </c>
      <c r="AC5" s="30">
        <f t="shared" si="0"/>
        <v>30</v>
      </c>
      <c r="AD5" s="30">
        <f t="shared" si="0"/>
        <v>8</v>
      </c>
      <c r="AE5" s="30">
        <f t="shared" si="0"/>
        <v>2</v>
      </c>
      <c r="AF5" s="30">
        <f>B84</f>
        <v>3.6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1911MW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Load=1826</v>
      </c>
      <c r="B7" s="35">
        <f t="shared" ref="B7:AF7" si="1">B91</f>
        <v>1972.04</v>
      </c>
      <c r="C7" s="35">
        <f t="shared" si="1"/>
        <v>1869.44</v>
      </c>
      <c r="D7" s="35">
        <f t="shared" si="1"/>
        <v>1850.44</v>
      </c>
      <c r="E7" s="35">
        <f t="shared" si="1"/>
        <v>1870.84</v>
      </c>
      <c r="F7" s="35">
        <f t="shared" si="1"/>
        <v>1860.34</v>
      </c>
      <c r="G7" s="35">
        <f t="shared" si="1"/>
        <v>1877.34</v>
      </c>
      <c r="H7" s="35">
        <f t="shared" si="1"/>
        <v>1866.64</v>
      </c>
      <c r="I7" s="35">
        <f t="shared" si="1"/>
        <v>1865.8400000000001</v>
      </c>
      <c r="J7" s="35">
        <f t="shared" si="1"/>
        <v>1860.14</v>
      </c>
      <c r="K7" s="35">
        <f t="shared" si="1"/>
        <v>1907.14</v>
      </c>
      <c r="L7" s="35">
        <f t="shared" si="1"/>
        <v>1908.04</v>
      </c>
      <c r="M7" s="35">
        <f t="shared" si="1"/>
        <v>1910.84</v>
      </c>
      <c r="N7" s="35">
        <f>N91</f>
        <v>1843.34</v>
      </c>
      <c r="O7" s="35">
        <f t="shared" si="1"/>
        <v>1905.3400000000001</v>
      </c>
      <c r="P7" s="35">
        <f t="shared" si="1"/>
        <v>1856.44</v>
      </c>
      <c r="Q7" s="35">
        <f t="shared" si="1"/>
        <v>1878.3400000000001</v>
      </c>
      <c r="R7" s="35">
        <f t="shared" si="1"/>
        <v>1879.34</v>
      </c>
      <c r="S7" s="35">
        <f t="shared" si="1"/>
        <v>1878.1399999999999</v>
      </c>
      <c r="T7" s="35">
        <f t="shared" si="1"/>
        <v>1826.44</v>
      </c>
      <c r="U7" s="35">
        <f t="shared" si="1"/>
        <v>1832.8400000000001</v>
      </c>
      <c r="V7" s="35">
        <f t="shared" si="1"/>
        <v>1842.94</v>
      </c>
      <c r="W7" s="35">
        <f t="shared" si="1"/>
        <v>1841.8400000000001</v>
      </c>
      <c r="X7" s="35">
        <f t="shared" si="1"/>
        <v>1965.5400000000002</v>
      </c>
      <c r="Y7" s="35">
        <f t="shared" si="1"/>
        <v>1964.1400000000003</v>
      </c>
      <c r="Z7" s="35">
        <f t="shared" si="1"/>
        <v>2072.04</v>
      </c>
      <c r="AA7" s="35">
        <f t="shared" si="1"/>
        <v>2101.64</v>
      </c>
      <c r="AB7" s="35">
        <f t="shared" si="1"/>
        <v>2039.44</v>
      </c>
      <c r="AC7" s="35">
        <f t="shared" si="1"/>
        <v>2065.14</v>
      </c>
      <c r="AD7" s="35">
        <f t="shared" si="1"/>
        <v>2033.1399999999999</v>
      </c>
      <c r="AE7" s="35">
        <f t="shared" si="1"/>
        <v>2011.1399999999999</v>
      </c>
      <c r="AF7" s="35">
        <f t="shared" si="1"/>
        <v>2005.1399999999999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90.6</v>
      </c>
      <c r="C11" s="45">
        <v>61</v>
      </c>
      <c r="D11" s="45">
        <v>61</v>
      </c>
      <c r="E11" s="45">
        <v>61</v>
      </c>
      <c r="F11" s="45">
        <v>61.3</v>
      </c>
      <c r="G11" s="45">
        <v>82.6</v>
      </c>
      <c r="H11" s="45">
        <v>82.5</v>
      </c>
      <c r="I11" s="45">
        <v>82.5</v>
      </c>
      <c r="J11" s="45">
        <v>83.1</v>
      </c>
      <c r="K11" s="45">
        <v>83.1</v>
      </c>
      <c r="L11" s="45">
        <v>84</v>
      </c>
      <c r="M11" s="45">
        <v>84</v>
      </c>
      <c r="N11" s="45">
        <v>90</v>
      </c>
      <c r="O11" s="45">
        <v>90</v>
      </c>
      <c r="P11" s="45">
        <v>60.4</v>
      </c>
      <c r="Q11" s="45">
        <v>60.4</v>
      </c>
      <c r="R11" s="45">
        <v>60.5</v>
      </c>
      <c r="S11" s="45">
        <v>60.5</v>
      </c>
      <c r="T11" s="45">
        <v>30.2</v>
      </c>
      <c r="U11" s="45">
        <v>60.3</v>
      </c>
      <c r="V11" s="45">
        <v>60.3</v>
      </c>
      <c r="W11" s="45">
        <v>60.3</v>
      </c>
      <c r="X11" s="45">
        <v>60.3</v>
      </c>
      <c r="Y11" s="45">
        <v>60.3</v>
      </c>
      <c r="Z11" s="45">
        <v>60.3</v>
      </c>
      <c r="AA11" s="45">
        <v>60.3</v>
      </c>
      <c r="AB11" s="45">
        <v>60.3</v>
      </c>
      <c r="AC11" s="45">
        <v>86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90.6</v>
      </c>
      <c r="AI11" s="48">
        <f t="shared" ref="AI11:AI76" si="3">MIN(B11:AF11)</f>
        <v>30.2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8</v>
      </c>
      <c r="D12" s="45">
        <v>8</v>
      </c>
      <c r="E12" s="45">
        <v>8</v>
      </c>
      <c r="F12" s="45">
        <v>8</v>
      </c>
      <c r="G12" s="45">
        <v>8</v>
      </c>
      <c r="H12" s="45">
        <v>8</v>
      </c>
      <c r="I12" s="45">
        <v>8</v>
      </c>
      <c r="J12" s="45">
        <v>8</v>
      </c>
      <c r="K12" s="45">
        <v>8</v>
      </c>
      <c r="L12" s="45">
        <v>8</v>
      </c>
      <c r="M12" s="45">
        <v>8</v>
      </c>
      <c r="N12" s="45">
        <v>12</v>
      </c>
      <c r="O12" s="45">
        <v>9</v>
      </c>
      <c r="P12" s="45">
        <v>9</v>
      </c>
      <c r="Q12" s="45">
        <v>9</v>
      </c>
      <c r="R12" s="45">
        <v>9</v>
      </c>
      <c r="S12" s="45">
        <v>9</v>
      </c>
      <c r="T12" s="45">
        <v>13</v>
      </c>
      <c r="U12" s="45">
        <v>9</v>
      </c>
      <c r="V12" s="45">
        <v>9</v>
      </c>
      <c r="W12" s="45">
        <v>9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54.7</v>
      </c>
      <c r="C13" s="45">
        <v>30</v>
      </c>
      <c r="D13" s="45">
        <v>0</v>
      </c>
      <c r="E13" s="45">
        <v>54.8</v>
      </c>
      <c r="F13" s="45">
        <v>54.7</v>
      </c>
      <c r="G13" s="45">
        <v>54.7</v>
      </c>
      <c r="H13" s="45">
        <v>54.7</v>
      </c>
      <c r="I13" s="45">
        <v>54.7</v>
      </c>
      <c r="J13" s="45">
        <v>54.7</v>
      </c>
      <c r="K13" s="45">
        <v>54.7</v>
      </c>
      <c r="L13" s="45">
        <v>54.7</v>
      </c>
      <c r="M13" s="45">
        <v>54.7</v>
      </c>
      <c r="N13" s="45">
        <v>54.7</v>
      </c>
      <c r="O13" s="45">
        <v>54.7</v>
      </c>
      <c r="P13" s="45">
        <v>54.7</v>
      </c>
      <c r="Q13" s="45">
        <v>54.7</v>
      </c>
      <c r="R13" s="45">
        <v>54.8</v>
      </c>
      <c r="S13" s="45">
        <v>54.8</v>
      </c>
      <c r="T13" s="45">
        <v>54.8</v>
      </c>
      <c r="U13" s="45">
        <v>54.8</v>
      </c>
      <c r="V13" s="45">
        <v>54.8</v>
      </c>
      <c r="W13" s="45">
        <v>54.8</v>
      </c>
      <c r="X13" s="45">
        <v>54.8</v>
      </c>
      <c r="Y13" s="45">
        <v>54.8</v>
      </c>
      <c r="Z13" s="45">
        <v>54.8</v>
      </c>
      <c r="AA13" s="45">
        <v>54.8</v>
      </c>
      <c r="AB13" s="45">
        <v>54.8</v>
      </c>
      <c r="AC13" s="45">
        <v>54.8</v>
      </c>
      <c r="AD13" s="45">
        <v>54.8</v>
      </c>
      <c r="AE13" s="45">
        <v>54.8</v>
      </c>
      <c r="AF13" s="45">
        <v>54.8</v>
      </c>
      <c r="AG13" s="46">
        <v>52.4</v>
      </c>
      <c r="AH13" s="47">
        <f t="shared" si="2"/>
        <v>54.8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50.6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46</v>
      </c>
      <c r="L15" s="45">
        <v>46</v>
      </c>
      <c r="M15" s="45">
        <v>46</v>
      </c>
      <c r="N15" s="45">
        <v>46</v>
      </c>
      <c r="O15" s="45">
        <v>45.8</v>
      </c>
      <c r="P15" s="45">
        <v>45.8</v>
      </c>
      <c r="Q15" s="45">
        <v>45.8</v>
      </c>
      <c r="R15" s="45">
        <v>45.8</v>
      </c>
      <c r="S15" s="45">
        <v>45.8</v>
      </c>
      <c r="T15" s="45">
        <v>45.8</v>
      </c>
      <c r="U15" s="45">
        <v>45.8</v>
      </c>
      <c r="V15" s="45">
        <v>45.8</v>
      </c>
      <c r="W15" s="45">
        <v>45.8</v>
      </c>
      <c r="X15" s="45">
        <v>45.8</v>
      </c>
      <c r="Y15" s="45">
        <v>45.8</v>
      </c>
      <c r="Z15" s="45">
        <v>45.8</v>
      </c>
      <c r="AA15" s="45">
        <v>45.8</v>
      </c>
      <c r="AB15" s="45">
        <v>45.8</v>
      </c>
      <c r="AC15" s="45">
        <v>45.8</v>
      </c>
      <c r="AD15" s="45">
        <v>45.8</v>
      </c>
      <c r="AE15" s="45">
        <v>45.8</v>
      </c>
      <c r="AF15" s="45">
        <v>45.8</v>
      </c>
      <c r="AG15" s="49">
        <v>45</v>
      </c>
      <c r="AH15" s="47">
        <f t="shared" si="2"/>
        <v>46</v>
      </c>
      <c r="AI15" s="48">
        <f t="shared" si="3"/>
        <v>45.8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33</v>
      </c>
      <c r="C17" s="45">
        <v>28</v>
      </c>
      <c r="D17" s="45">
        <v>28</v>
      </c>
      <c r="E17" s="45">
        <v>29.5</v>
      </c>
      <c r="F17" s="45">
        <v>29</v>
      </c>
      <c r="G17" s="45">
        <v>29</v>
      </c>
      <c r="H17" s="45">
        <v>29</v>
      </c>
      <c r="I17" s="45">
        <v>29</v>
      </c>
      <c r="J17" s="45">
        <v>29.3</v>
      </c>
      <c r="K17" s="45">
        <v>29.3</v>
      </c>
      <c r="L17" s="45">
        <v>29.3</v>
      </c>
      <c r="M17" s="45">
        <v>29.3</v>
      </c>
      <c r="N17" s="45">
        <v>29.3</v>
      </c>
      <c r="O17" s="45">
        <v>29.5</v>
      </c>
      <c r="P17" s="45">
        <v>29.5</v>
      </c>
      <c r="Q17" s="45">
        <v>29.5</v>
      </c>
      <c r="R17" s="45">
        <v>29.5</v>
      </c>
      <c r="S17" s="45">
        <v>29.5</v>
      </c>
      <c r="T17" s="45">
        <v>29.5</v>
      </c>
      <c r="U17" s="45">
        <v>29.5</v>
      </c>
      <c r="V17" s="45">
        <v>29.5</v>
      </c>
      <c r="W17" s="45">
        <v>29.5</v>
      </c>
      <c r="X17" s="45">
        <v>29.5</v>
      </c>
      <c r="Y17" s="45">
        <v>29.5</v>
      </c>
      <c r="Z17" s="45">
        <v>36.200000000000003</v>
      </c>
      <c r="AA17" s="45">
        <v>36.200000000000003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9">
        <v>42</v>
      </c>
      <c r="AH17" s="47">
        <f t="shared" si="2"/>
        <v>36.200000000000003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5.7</v>
      </c>
      <c r="F20" s="45">
        <v>5.7</v>
      </c>
      <c r="G20" s="45">
        <v>5.7</v>
      </c>
      <c r="H20" s="45">
        <v>5.7</v>
      </c>
      <c r="I20" s="45">
        <v>5.7</v>
      </c>
      <c r="J20" s="45">
        <v>5.7</v>
      </c>
      <c r="K20" s="45">
        <v>5.7</v>
      </c>
      <c r="L20" s="45">
        <v>5.7</v>
      </c>
      <c r="M20" s="45">
        <v>10</v>
      </c>
      <c r="N20" s="45">
        <v>10</v>
      </c>
      <c r="O20" s="45">
        <v>5.8</v>
      </c>
      <c r="P20" s="45">
        <v>5.8</v>
      </c>
      <c r="Q20" s="45">
        <v>5.8</v>
      </c>
      <c r="R20" s="45">
        <v>5.8</v>
      </c>
      <c r="S20" s="45">
        <v>5.8</v>
      </c>
      <c r="T20" s="45">
        <v>14.8</v>
      </c>
      <c r="U20" s="45">
        <v>5</v>
      </c>
      <c r="V20" s="45">
        <v>5</v>
      </c>
      <c r="W20" s="45">
        <v>5</v>
      </c>
      <c r="X20" s="45">
        <v>15</v>
      </c>
      <c r="Y20" s="45">
        <v>15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30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24.8</v>
      </c>
      <c r="C21" s="45">
        <v>24.8</v>
      </c>
      <c r="D21" s="45">
        <v>24.8</v>
      </c>
      <c r="E21" s="45">
        <v>24.9</v>
      </c>
      <c r="F21" s="45">
        <v>24.8</v>
      </c>
      <c r="G21" s="45">
        <v>24.8</v>
      </c>
      <c r="H21" s="45">
        <v>24.8</v>
      </c>
      <c r="I21" s="45">
        <v>24.8</v>
      </c>
      <c r="J21" s="45">
        <v>24.8</v>
      </c>
      <c r="K21" s="45">
        <v>24.8</v>
      </c>
      <c r="L21" s="45">
        <v>24.8</v>
      </c>
      <c r="M21" s="45">
        <v>24.8</v>
      </c>
      <c r="N21" s="45">
        <v>24.8</v>
      </c>
      <c r="O21" s="45">
        <v>24.8</v>
      </c>
      <c r="P21" s="45">
        <v>24.8</v>
      </c>
      <c r="Q21" s="45">
        <v>24.8</v>
      </c>
      <c r="R21" s="45">
        <v>24.9</v>
      </c>
      <c r="S21" s="45">
        <v>24.9</v>
      </c>
      <c r="T21" s="45">
        <v>20.8</v>
      </c>
      <c r="U21" s="45">
        <v>20.8</v>
      </c>
      <c r="V21" s="45">
        <v>20.8</v>
      </c>
      <c r="W21" s="45">
        <v>20.8</v>
      </c>
      <c r="X21" s="45">
        <v>20.8</v>
      </c>
      <c r="Y21" s="45">
        <v>20.8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20.8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28.2</v>
      </c>
      <c r="C22" s="45">
        <v>28.2</v>
      </c>
      <c r="D22" s="45">
        <v>28.2</v>
      </c>
      <c r="E22" s="45">
        <v>28.2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28.1</v>
      </c>
      <c r="S22" s="45">
        <v>28.1</v>
      </c>
      <c r="T22" s="45">
        <v>0</v>
      </c>
      <c r="U22" s="45">
        <v>0</v>
      </c>
      <c r="V22" s="45">
        <v>0</v>
      </c>
      <c r="W22" s="45">
        <v>0</v>
      </c>
      <c r="X22" s="45">
        <v>0</v>
      </c>
      <c r="Y22" s="45">
        <v>0</v>
      </c>
      <c r="Z22" s="45">
        <v>28.3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28.3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3</v>
      </c>
      <c r="C23" s="45">
        <v>3</v>
      </c>
      <c r="D23" s="45">
        <v>3</v>
      </c>
      <c r="E23" s="45">
        <v>3</v>
      </c>
      <c r="F23" s="45">
        <v>3</v>
      </c>
      <c r="G23" s="45">
        <v>3</v>
      </c>
      <c r="H23" s="45">
        <v>3</v>
      </c>
      <c r="I23" s="45">
        <v>3</v>
      </c>
      <c r="J23" s="45">
        <v>3</v>
      </c>
      <c r="K23" s="45">
        <v>3</v>
      </c>
      <c r="L23" s="45">
        <v>3</v>
      </c>
      <c r="M23" s="45">
        <v>3</v>
      </c>
      <c r="N23" s="45">
        <v>3</v>
      </c>
      <c r="O23" s="45">
        <v>4.5</v>
      </c>
      <c r="P23" s="45">
        <v>4.5</v>
      </c>
      <c r="Q23" s="45">
        <v>4.5</v>
      </c>
      <c r="R23" s="45">
        <v>4.5</v>
      </c>
      <c r="S23" s="45">
        <v>4.5</v>
      </c>
      <c r="T23" s="45">
        <v>4.5</v>
      </c>
      <c r="U23" s="45">
        <v>4.5</v>
      </c>
      <c r="V23" s="45">
        <v>4.5</v>
      </c>
      <c r="W23" s="45">
        <v>4.5</v>
      </c>
      <c r="X23" s="45">
        <v>13.5</v>
      </c>
      <c r="Y23" s="45">
        <v>13.5</v>
      </c>
      <c r="Z23" s="45">
        <v>27</v>
      </c>
      <c r="AA23" s="45">
        <v>27</v>
      </c>
      <c r="AB23" s="45">
        <v>27</v>
      </c>
      <c r="AC23" s="45">
        <v>27</v>
      </c>
      <c r="AD23" s="45">
        <v>13</v>
      </c>
      <c r="AE23" s="45">
        <v>13</v>
      </c>
      <c r="AF23" s="45">
        <v>13</v>
      </c>
      <c r="AG23" s="51">
        <v>30</v>
      </c>
      <c r="AH23" s="47">
        <f t="shared" si="2"/>
        <v>27</v>
      </c>
      <c r="AI23" s="48">
        <f t="shared" si="3"/>
        <v>3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24.2</v>
      </c>
      <c r="C24" s="45">
        <v>24.2</v>
      </c>
      <c r="D24" s="45">
        <v>24.2</v>
      </c>
      <c r="E24" s="45">
        <v>24.2</v>
      </c>
      <c r="F24" s="45">
        <v>24.2</v>
      </c>
      <c r="G24" s="45">
        <v>24.2</v>
      </c>
      <c r="H24" s="45">
        <v>24.2</v>
      </c>
      <c r="I24" s="45">
        <v>24.2</v>
      </c>
      <c r="J24" s="45">
        <v>24.2</v>
      </c>
      <c r="K24" s="45">
        <v>24.2</v>
      </c>
      <c r="L24" s="45">
        <v>24.2</v>
      </c>
      <c r="M24" s="45">
        <v>24.2</v>
      </c>
      <c r="N24" s="45">
        <v>24.2</v>
      </c>
      <c r="O24" s="45">
        <v>25.8</v>
      </c>
      <c r="P24" s="45">
        <v>25.8</v>
      </c>
      <c r="Q24" s="45">
        <v>25.8</v>
      </c>
      <c r="R24" s="45">
        <v>26.1</v>
      </c>
      <c r="S24" s="45">
        <v>26.1</v>
      </c>
      <c r="T24" s="45">
        <v>26.1</v>
      </c>
      <c r="U24" s="45">
        <v>26.1</v>
      </c>
      <c r="V24" s="45">
        <v>26.1</v>
      </c>
      <c r="W24" s="45">
        <v>26.1</v>
      </c>
      <c r="X24" s="45">
        <v>26.1</v>
      </c>
      <c r="Y24" s="45">
        <v>26.1</v>
      </c>
      <c r="Z24" s="45">
        <v>26.1</v>
      </c>
      <c r="AA24" s="45">
        <v>26.1</v>
      </c>
      <c r="AB24" s="45">
        <v>26.1</v>
      </c>
      <c r="AC24" s="45">
        <v>26.1</v>
      </c>
      <c r="AD24" s="45">
        <v>26.1</v>
      </c>
      <c r="AE24" s="45">
        <v>26.1</v>
      </c>
      <c r="AF24" s="45">
        <v>26.1</v>
      </c>
      <c r="AG24" s="49">
        <v>25</v>
      </c>
      <c r="AH24" s="47">
        <f t="shared" si="2"/>
        <v>26.1</v>
      </c>
      <c r="AI24" s="48">
        <f t="shared" si="3"/>
        <v>24.2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22</v>
      </c>
      <c r="N26" s="45">
        <v>22</v>
      </c>
      <c r="O26" s="45">
        <v>22</v>
      </c>
      <c r="P26" s="45">
        <v>22</v>
      </c>
      <c r="Q26" s="45">
        <v>22</v>
      </c>
      <c r="R26" s="45">
        <v>22</v>
      </c>
      <c r="S26" s="45">
        <v>22</v>
      </c>
      <c r="T26" s="45">
        <v>22</v>
      </c>
      <c r="U26" s="45">
        <v>22</v>
      </c>
      <c r="V26" s="45">
        <v>22</v>
      </c>
      <c r="W26" s="45">
        <v>22</v>
      </c>
      <c r="X26" s="45">
        <v>22</v>
      </c>
      <c r="Y26" s="45">
        <v>22</v>
      </c>
      <c r="Z26" s="45">
        <v>22</v>
      </c>
      <c r="AA26" s="45">
        <v>22</v>
      </c>
      <c r="AB26" s="45">
        <v>22</v>
      </c>
      <c r="AC26" s="45">
        <v>22</v>
      </c>
      <c r="AD26" s="45">
        <v>22</v>
      </c>
      <c r="AE26" s="45">
        <v>22</v>
      </c>
      <c r="AF26" s="45">
        <v>22</v>
      </c>
      <c r="AG26" s="49">
        <v>25</v>
      </c>
      <c r="AH26" s="47">
        <f t="shared" si="2"/>
        <v>25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3</v>
      </c>
      <c r="C27" s="45">
        <v>3</v>
      </c>
      <c r="D27" s="45">
        <v>3</v>
      </c>
      <c r="E27" s="45">
        <v>3</v>
      </c>
      <c r="F27" s="45">
        <v>3</v>
      </c>
      <c r="G27" s="45">
        <v>3</v>
      </c>
      <c r="H27" s="45">
        <v>3</v>
      </c>
      <c r="I27" s="45">
        <v>3</v>
      </c>
      <c r="J27" s="45">
        <v>3</v>
      </c>
      <c r="K27" s="45">
        <v>3</v>
      </c>
      <c r="L27" s="45">
        <v>3</v>
      </c>
      <c r="M27" s="45">
        <v>3</v>
      </c>
      <c r="N27" s="45">
        <v>3</v>
      </c>
      <c r="O27" s="45">
        <v>4</v>
      </c>
      <c r="P27" s="45">
        <v>4</v>
      </c>
      <c r="Q27" s="45">
        <v>4</v>
      </c>
      <c r="R27" s="45">
        <v>4</v>
      </c>
      <c r="S27" s="45">
        <v>4</v>
      </c>
      <c r="T27" s="45">
        <v>12.5</v>
      </c>
      <c r="U27" s="45">
        <v>4.5</v>
      </c>
      <c r="V27" s="45">
        <v>4.5</v>
      </c>
      <c r="W27" s="45">
        <v>4.5</v>
      </c>
      <c r="X27" s="45">
        <v>12.5</v>
      </c>
      <c r="Y27" s="45">
        <v>12.5</v>
      </c>
      <c r="Z27" s="45">
        <v>25</v>
      </c>
      <c r="AA27" s="45">
        <v>25</v>
      </c>
      <c r="AB27" s="45">
        <v>25</v>
      </c>
      <c r="AC27" s="45">
        <v>25</v>
      </c>
      <c r="AD27" s="45">
        <v>13</v>
      </c>
      <c r="AE27" s="45">
        <v>13</v>
      </c>
      <c r="AF27" s="45">
        <v>13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</v>
      </c>
      <c r="C28" s="45">
        <v>24</v>
      </c>
      <c r="D28" s="45">
        <v>24</v>
      </c>
      <c r="E28" s="45">
        <v>24</v>
      </c>
      <c r="F28" s="45">
        <v>24</v>
      </c>
      <c r="G28" s="45">
        <v>24</v>
      </c>
      <c r="H28" s="45">
        <v>24</v>
      </c>
      <c r="I28" s="45">
        <v>24</v>
      </c>
      <c r="J28" s="45">
        <v>24</v>
      </c>
      <c r="K28" s="45">
        <v>24</v>
      </c>
      <c r="L28" s="45">
        <v>24</v>
      </c>
      <c r="M28" s="45">
        <v>24</v>
      </c>
      <c r="N28" s="45">
        <v>24</v>
      </c>
      <c r="O28" s="45">
        <v>24</v>
      </c>
      <c r="P28" s="45">
        <v>24</v>
      </c>
      <c r="Q28" s="45">
        <v>24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0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19</v>
      </c>
      <c r="T31" s="45">
        <v>19</v>
      </c>
      <c r="U31" s="45">
        <v>19</v>
      </c>
      <c r="V31" s="45">
        <v>19</v>
      </c>
      <c r="W31" s="45">
        <v>19</v>
      </c>
      <c r="X31" s="45">
        <v>19</v>
      </c>
      <c r="Y31" s="45">
        <v>19</v>
      </c>
      <c r="Z31" s="45">
        <v>19</v>
      </c>
      <c r="AA31" s="45">
        <v>19</v>
      </c>
      <c r="AB31" s="45">
        <v>19</v>
      </c>
      <c r="AC31" s="45">
        <v>19</v>
      </c>
      <c r="AD31" s="45">
        <v>19</v>
      </c>
      <c r="AE31" s="45">
        <v>19</v>
      </c>
      <c r="AF31" s="45">
        <v>19</v>
      </c>
      <c r="AG31" s="49">
        <v>22</v>
      </c>
      <c r="AH31" s="47">
        <f t="shared" si="2"/>
        <v>22</v>
      </c>
      <c r="AI31" s="48">
        <f t="shared" si="3"/>
        <v>19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19</v>
      </c>
      <c r="U32" s="45">
        <v>19</v>
      </c>
      <c r="V32" s="45">
        <v>19</v>
      </c>
      <c r="W32" s="45">
        <v>19</v>
      </c>
      <c r="X32" s="45">
        <v>19</v>
      </c>
      <c r="Y32" s="45">
        <v>19</v>
      </c>
      <c r="Z32" s="45">
        <v>19</v>
      </c>
      <c r="AA32" s="45">
        <v>19</v>
      </c>
      <c r="AB32" s="45">
        <v>19</v>
      </c>
      <c r="AC32" s="45">
        <v>19</v>
      </c>
      <c r="AD32" s="45">
        <v>19</v>
      </c>
      <c r="AE32" s="45">
        <v>19</v>
      </c>
      <c r="AF32" s="45">
        <v>19</v>
      </c>
      <c r="AG32" s="49">
        <v>22</v>
      </c>
      <c r="AH32" s="47">
        <f t="shared" si="2"/>
        <v>22</v>
      </c>
      <c r="AI32" s="48">
        <f t="shared" si="3"/>
        <v>19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4</v>
      </c>
      <c r="F33" s="45">
        <v>4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7</v>
      </c>
      <c r="U33" s="45">
        <v>7</v>
      </c>
      <c r="V33" s="45">
        <v>7</v>
      </c>
      <c r="W33" s="45">
        <v>7</v>
      </c>
      <c r="X33" s="45">
        <v>5</v>
      </c>
      <c r="Y33" s="45">
        <v>5</v>
      </c>
      <c r="Z33" s="45">
        <v>8</v>
      </c>
      <c r="AA33" s="45">
        <v>8</v>
      </c>
      <c r="AB33" s="45">
        <v>8</v>
      </c>
      <c r="AC33" s="45">
        <v>8</v>
      </c>
      <c r="AD33" s="45">
        <v>10</v>
      </c>
      <c r="AE33" s="45">
        <v>10</v>
      </c>
      <c r="AF33" s="45">
        <v>10</v>
      </c>
      <c r="AG33" s="49">
        <v>20</v>
      </c>
      <c r="AH33" s="47">
        <f t="shared" si="2"/>
        <v>10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3.5</v>
      </c>
      <c r="Y34" s="45">
        <v>3.5</v>
      </c>
      <c r="Z34" s="45">
        <v>5</v>
      </c>
      <c r="AA34" s="45">
        <v>5</v>
      </c>
      <c r="AB34" s="45">
        <v>5</v>
      </c>
      <c r="AC34" s="45">
        <v>5</v>
      </c>
      <c r="AD34" s="45">
        <v>9</v>
      </c>
      <c r="AE34" s="45">
        <v>9</v>
      </c>
      <c r="AF34" s="45">
        <v>9</v>
      </c>
      <c r="AG34" s="49">
        <v>18</v>
      </c>
      <c r="AH34" s="47">
        <f t="shared" si="2"/>
        <v>9</v>
      </c>
      <c r="AI34" s="48">
        <f t="shared" si="3"/>
        <v>3.5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3</v>
      </c>
      <c r="O39" s="45">
        <v>3</v>
      </c>
      <c r="P39" s="45">
        <v>3</v>
      </c>
      <c r="Q39" s="45">
        <v>3</v>
      </c>
      <c r="R39" s="45">
        <v>3</v>
      </c>
      <c r="S39" s="45">
        <v>3</v>
      </c>
      <c r="T39" s="45">
        <v>6</v>
      </c>
      <c r="U39" s="45">
        <v>2</v>
      </c>
      <c r="V39" s="45">
        <v>2</v>
      </c>
      <c r="W39" s="45">
        <v>2</v>
      </c>
      <c r="X39" s="45">
        <v>6</v>
      </c>
      <c r="Y39" s="45">
        <v>6</v>
      </c>
      <c r="Z39" s="45">
        <v>12</v>
      </c>
      <c r="AA39" s="45">
        <v>12</v>
      </c>
      <c r="AB39" s="45">
        <v>12</v>
      </c>
      <c r="AC39" s="45">
        <v>12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5.5</v>
      </c>
      <c r="C40" s="45">
        <v>5.5</v>
      </c>
      <c r="D40" s="45">
        <v>5.5</v>
      </c>
      <c r="E40" s="45">
        <v>5.5</v>
      </c>
      <c r="F40" s="45">
        <v>5.5</v>
      </c>
      <c r="G40" s="45">
        <v>5.5</v>
      </c>
      <c r="H40" s="45">
        <v>5.5</v>
      </c>
      <c r="I40" s="45">
        <v>5.5</v>
      </c>
      <c r="J40" s="45">
        <v>5.5</v>
      </c>
      <c r="K40" s="45">
        <v>5.5</v>
      </c>
      <c r="L40" s="45">
        <v>5.5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4.0999999999999996</v>
      </c>
      <c r="V40" s="45">
        <v>4.0999999999999996</v>
      </c>
      <c r="W40" s="45">
        <v>4.0999999999999996</v>
      </c>
      <c r="X40" s="45">
        <v>4.0999999999999996</v>
      </c>
      <c r="Y40" s="45">
        <v>4.0999999999999996</v>
      </c>
      <c r="Z40" s="45">
        <v>4.0999999999999996</v>
      </c>
      <c r="AA40" s="45">
        <v>4.0999999999999996</v>
      </c>
      <c r="AB40" s="45">
        <v>4.0999999999999996</v>
      </c>
      <c r="AC40" s="45">
        <v>4.0999999999999996</v>
      </c>
      <c r="AD40" s="45">
        <v>4.0999999999999996</v>
      </c>
      <c r="AE40" s="45">
        <v>4.0999999999999996</v>
      </c>
      <c r="AF40" s="45">
        <v>4.0999999999999996</v>
      </c>
      <c r="AG40" s="49">
        <v>12</v>
      </c>
      <c r="AH40" s="47">
        <f t="shared" si="2"/>
        <v>5.5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52">
        <v>22</v>
      </c>
      <c r="AH42" s="47">
        <f t="shared" si="2"/>
        <v>0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>
        <v>10</v>
      </c>
      <c r="K44" s="45">
        <v>10</v>
      </c>
      <c r="L44" s="45">
        <v>10</v>
      </c>
      <c r="M44" s="45">
        <v>10</v>
      </c>
      <c r="N44" s="45">
        <v>10</v>
      </c>
      <c r="O44" s="45">
        <v>10</v>
      </c>
      <c r="P44" s="45">
        <v>10</v>
      </c>
      <c r="Q44" s="45">
        <v>10</v>
      </c>
      <c r="R44" s="45">
        <v>10</v>
      </c>
      <c r="S44" s="45">
        <v>10</v>
      </c>
      <c r="T44" s="45">
        <v>10</v>
      </c>
      <c r="U44" s="45">
        <v>10</v>
      </c>
      <c r="V44" s="45">
        <v>10</v>
      </c>
      <c r="W44" s="45">
        <v>10</v>
      </c>
      <c r="X44" s="45">
        <v>10</v>
      </c>
      <c r="Y44" s="45">
        <v>10</v>
      </c>
      <c r="Z44" s="45">
        <v>10</v>
      </c>
      <c r="AA44" s="45">
        <v>10</v>
      </c>
      <c r="AB44" s="45">
        <v>10</v>
      </c>
      <c r="AC44" s="45">
        <v>10</v>
      </c>
      <c r="AD44" s="45">
        <v>10</v>
      </c>
      <c r="AE44" s="45">
        <v>10</v>
      </c>
      <c r="AF44" s="45">
        <v>10</v>
      </c>
      <c r="AG44" s="54">
        <v>11</v>
      </c>
      <c r="AH44" s="47">
        <f t="shared" si="2"/>
        <v>10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10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95.8</v>
      </c>
      <c r="C49" s="56">
        <v>95.8</v>
      </c>
      <c r="D49" s="56">
        <v>95.8</v>
      </c>
      <c r="E49" s="56">
        <v>95.8</v>
      </c>
      <c r="F49" s="56">
        <v>100</v>
      </c>
      <c r="G49" s="56">
        <v>100</v>
      </c>
      <c r="H49" s="56">
        <v>100</v>
      </c>
      <c r="I49" s="56">
        <v>100</v>
      </c>
      <c r="J49" s="56">
        <v>100</v>
      </c>
      <c r="K49" s="56">
        <v>100</v>
      </c>
      <c r="L49" s="56">
        <v>100</v>
      </c>
      <c r="M49" s="56">
        <v>100</v>
      </c>
      <c r="N49" s="56">
        <v>100</v>
      </c>
      <c r="O49" s="56">
        <v>100</v>
      </c>
      <c r="P49" s="56">
        <v>100</v>
      </c>
      <c r="Q49" s="56">
        <v>100</v>
      </c>
      <c r="R49" s="56">
        <f>88</f>
        <v>88</v>
      </c>
      <c r="S49" s="56">
        <f>88</f>
        <v>88</v>
      </c>
      <c r="T49" s="58">
        <v>55.1</v>
      </c>
      <c r="U49" s="58">
        <v>55.1</v>
      </c>
      <c r="V49" s="58">
        <v>91</v>
      </c>
      <c r="W49" s="58">
        <v>88</v>
      </c>
      <c r="X49" s="58">
        <f>23.9+70</f>
        <v>93.9</v>
      </c>
      <c r="Y49" s="56">
        <v>92</v>
      </c>
      <c r="Z49" s="56">
        <v>83.5</v>
      </c>
      <c r="AA49" s="56">
        <v>83.5</v>
      </c>
      <c r="AB49" s="56">
        <v>83.5</v>
      </c>
      <c r="AC49" s="56">
        <v>83.5</v>
      </c>
      <c r="AD49" s="56">
        <v>83.5</v>
      </c>
      <c r="AE49" s="56">
        <v>83.5</v>
      </c>
      <c r="AF49" s="56">
        <v>83.5</v>
      </c>
      <c r="AG49" s="54">
        <v>240</v>
      </c>
      <c r="AH49" s="47">
        <f t="shared" si="2"/>
        <v>100</v>
      </c>
      <c r="AI49" s="48">
        <f t="shared" si="3"/>
        <v>55.1</v>
      </c>
      <c r="AK49" s="50"/>
    </row>
    <row r="50" spans="1:41" ht="15.75" thickBot="1" x14ac:dyDescent="0.3">
      <c r="A50" s="59" t="s">
        <v>58</v>
      </c>
      <c r="B50" s="60">
        <f t="shared" ref="B50:AE50" si="4">SUM(B11:B48)</f>
        <v>1039.0999999999999</v>
      </c>
      <c r="C50" s="60">
        <f t="shared" si="4"/>
        <v>977.8</v>
      </c>
      <c r="D50" s="60">
        <f t="shared" si="4"/>
        <v>947.8</v>
      </c>
      <c r="E50" s="60">
        <f>SUM(E11:E48)</f>
        <v>1004.8999999999999</v>
      </c>
      <c r="F50" s="60">
        <f t="shared" si="4"/>
        <v>1004.3</v>
      </c>
      <c r="G50" s="60">
        <f t="shared" si="4"/>
        <v>1025.5999999999999</v>
      </c>
      <c r="H50" s="60">
        <f t="shared" si="4"/>
        <v>1025.5</v>
      </c>
      <c r="I50" s="60">
        <f t="shared" si="4"/>
        <v>1025.5</v>
      </c>
      <c r="J50" s="60">
        <f>SUM(J11:J48)</f>
        <v>1026.4000000000001</v>
      </c>
      <c r="K50" s="60">
        <f>SUM(K11:K48)</f>
        <v>1026.4000000000001</v>
      </c>
      <c r="L50" s="60">
        <f>SUM(L11:L48)</f>
        <v>1027.3</v>
      </c>
      <c r="M50" s="60">
        <f t="shared" si="4"/>
        <v>1035.0999999999999</v>
      </c>
      <c r="N50" s="60">
        <f t="shared" si="4"/>
        <v>1045.0999999999999</v>
      </c>
      <c r="O50" s="60">
        <f t="shared" si="4"/>
        <v>1041</v>
      </c>
      <c r="P50" s="60">
        <f t="shared" si="4"/>
        <v>1011.4000000000001</v>
      </c>
      <c r="Q50" s="60">
        <f t="shared" si="4"/>
        <v>1011.4000000000001</v>
      </c>
      <c r="R50" s="60">
        <f>SUM(R11:R48)</f>
        <v>1012.8</v>
      </c>
      <c r="S50" s="60">
        <f t="shared" si="4"/>
        <v>1009.8</v>
      </c>
      <c r="T50" s="60">
        <f t="shared" si="4"/>
        <v>970.8</v>
      </c>
      <c r="U50" s="60">
        <f t="shared" si="4"/>
        <v>979.2</v>
      </c>
      <c r="V50" s="60">
        <f t="shared" si="4"/>
        <v>979.2</v>
      </c>
      <c r="W50" s="60">
        <f t="shared" si="4"/>
        <v>979.2</v>
      </c>
      <c r="X50" s="60">
        <f t="shared" si="4"/>
        <v>1011.7</v>
      </c>
      <c r="Y50" s="60">
        <f t="shared" si="4"/>
        <v>1011.7</v>
      </c>
      <c r="Z50" s="60">
        <f t="shared" si="4"/>
        <v>1110.5</v>
      </c>
      <c r="AA50" s="60">
        <f t="shared" si="4"/>
        <v>1110.5</v>
      </c>
      <c r="AB50" s="60">
        <f t="shared" si="4"/>
        <v>1074.3000000000002</v>
      </c>
      <c r="AC50" s="60">
        <f>SUM(AC11:AC48)</f>
        <v>1100</v>
      </c>
      <c r="AD50" s="60">
        <f t="shared" si="4"/>
        <v>1078</v>
      </c>
      <c r="AE50" s="60">
        <f t="shared" si="4"/>
        <v>1078</v>
      </c>
      <c r="AF50" s="60">
        <f>SUM(AF11:AF48)</f>
        <v>1078</v>
      </c>
      <c r="AG50" s="61">
        <f>SUM(AG13:AG48)</f>
        <v>922.14</v>
      </c>
      <c r="AH50" s="47">
        <f t="shared" si="2"/>
        <v>1110.5</v>
      </c>
      <c r="AI50" s="48">
        <f t="shared" si="3"/>
        <v>947.8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175">
        <v>380</v>
      </c>
      <c r="O51" s="175">
        <v>380</v>
      </c>
      <c r="P51" s="175">
        <v>380</v>
      </c>
      <c r="Q51" s="175">
        <v>380</v>
      </c>
      <c r="R51" s="175">
        <v>380</v>
      </c>
      <c r="S51" s="175">
        <v>380</v>
      </c>
      <c r="T51" s="175">
        <v>380</v>
      </c>
      <c r="U51" s="45">
        <v>380</v>
      </c>
      <c r="V51" s="45">
        <v>380</v>
      </c>
      <c r="W51" s="45">
        <v>380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61</v>
      </c>
      <c r="C52" s="64">
        <v>61</v>
      </c>
      <c r="D52" s="64">
        <v>61</v>
      </c>
      <c r="E52" s="64">
        <v>61</v>
      </c>
      <c r="F52" s="64">
        <v>61</v>
      </c>
      <c r="G52" s="64">
        <v>61</v>
      </c>
      <c r="H52" s="64">
        <v>61</v>
      </c>
      <c r="I52" s="64">
        <v>61</v>
      </c>
      <c r="J52" s="64">
        <v>61</v>
      </c>
      <c r="K52" s="64">
        <v>61</v>
      </c>
      <c r="L52" s="64">
        <v>61</v>
      </c>
      <c r="M52" s="64">
        <v>60</v>
      </c>
      <c r="N52" s="64">
        <v>60</v>
      </c>
      <c r="O52" s="64">
        <v>60</v>
      </c>
      <c r="P52" s="64">
        <v>50</v>
      </c>
      <c r="Q52" s="64">
        <v>50</v>
      </c>
      <c r="R52" s="64">
        <v>50</v>
      </c>
      <c r="S52" s="64">
        <v>49</v>
      </c>
      <c r="T52" s="64">
        <v>49</v>
      </c>
      <c r="U52" s="64">
        <v>49</v>
      </c>
      <c r="V52" s="64">
        <v>49</v>
      </c>
      <c r="W52" s="64">
        <v>49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61</v>
      </c>
      <c r="AI52" s="48">
        <f t="shared" si="3"/>
        <v>49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20.5</v>
      </c>
      <c r="V53" s="66">
        <v>20.5</v>
      </c>
      <c r="W53" s="66">
        <v>20.5</v>
      </c>
      <c r="X53" s="66">
        <v>20.100000000000001</v>
      </c>
      <c r="Y53" s="66">
        <v>20.100000000000001</v>
      </c>
      <c r="Z53" s="66">
        <v>20.100000000000001</v>
      </c>
      <c r="AA53" s="66">
        <v>20.100000000000001</v>
      </c>
      <c r="AB53" s="66">
        <v>20.100000000000001</v>
      </c>
      <c r="AC53" s="66">
        <v>20.100000000000001</v>
      </c>
      <c r="AD53" s="66">
        <v>20.100000000000001</v>
      </c>
      <c r="AE53" s="66">
        <v>20.100000000000001</v>
      </c>
      <c r="AF53" s="66">
        <v>20.100000000000001</v>
      </c>
      <c r="AG53" s="67">
        <v>22.1</v>
      </c>
      <c r="AH53" s="47">
        <f t="shared" si="2"/>
        <v>22.5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539.5</v>
      </c>
      <c r="C54" s="60">
        <f t="shared" si="5"/>
        <v>539.5</v>
      </c>
      <c r="D54" s="60">
        <f t="shared" si="5"/>
        <v>539.5</v>
      </c>
      <c r="E54" s="60">
        <f t="shared" si="5"/>
        <v>539.5</v>
      </c>
      <c r="F54" s="60">
        <f t="shared" si="5"/>
        <v>539.5</v>
      </c>
      <c r="G54" s="60">
        <f t="shared" si="5"/>
        <v>539.5</v>
      </c>
      <c r="H54" s="60">
        <f t="shared" si="5"/>
        <v>539.5</v>
      </c>
      <c r="I54" s="60">
        <f t="shared" si="5"/>
        <v>539.5</v>
      </c>
      <c r="J54" s="60">
        <f t="shared" si="5"/>
        <v>539.5</v>
      </c>
      <c r="K54" s="60">
        <f t="shared" si="5"/>
        <v>539.5</v>
      </c>
      <c r="L54" s="60">
        <f t="shared" si="5"/>
        <v>539.5</v>
      </c>
      <c r="M54" s="60">
        <f t="shared" si="5"/>
        <v>538.5</v>
      </c>
      <c r="N54" s="60">
        <f t="shared" si="5"/>
        <v>462.5</v>
      </c>
      <c r="O54" s="60">
        <f t="shared" si="5"/>
        <v>462.5</v>
      </c>
      <c r="P54" s="60">
        <f t="shared" si="5"/>
        <v>452.5</v>
      </c>
      <c r="Q54" s="60">
        <f t="shared" si="5"/>
        <v>452.5</v>
      </c>
      <c r="R54" s="60">
        <f>SUM(R51:R53)</f>
        <v>452.5</v>
      </c>
      <c r="S54" s="60">
        <f t="shared" si="5"/>
        <v>451.5</v>
      </c>
      <c r="T54" s="60">
        <f t="shared" si="5"/>
        <v>451.5</v>
      </c>
      <c r="U54" s="60">
        <f t="shared" si="5"/>
        <v>449.5</v>
      </c>
      <c r="V54" s="60">
        <f t="shared" si="5"/>
        <v>449.5</v>
      </c>
      <c r="W54" s="60">
        <f t="shared" si="5"/>
        <v>449.5</v>
      </c>
      <c r="X54" s="60">
        <f t="shared" si="5"/>
        <v>536.1</v>
      </c>
      <c r="Y54" s="60">
        <f t="shared" si="5"/>
        <v>536.1</v>
      </c>
      <c r="Z54" s="60">
        <f t="shared" si="5"/>
        <v>536.1</v>
      </c>
      <c r="AA54" s="60">
        <f t="shared" si="5"/>
        <v>536.1</v>
      </c>
      <c r="AB54" s="60">
        <f t="shared" si="5"/>
        <v>536.1</v>
      </c>
      <c r="AC54" s="60">
        <f>SUM(AC51:AC53)</f>
        <v>536.1</v>
      </c>
      <c r="AD54" s="60">
        <f t="shared" si="5"/>
        <v>536.1</v>
      </c>
      <c r="AE54" s="60">
        <f t="shared" si="5"/>
        <v>536.1</v>
      </c>
      <c r="AF54" s="60">
        <f>SUM(AF51:AF53)</f>
        <v>536.1</v>
      </c>
      <c r="AG54" s="61">
        <f t="shared" si="5"/>
        <v>538.1</v>
      </c>
      <c r="AH54" s="47">
        <f t="shared" si="2"/>
        <v>539.5</v>
      </c>
      <c r="AI54" s="48">
        <f t="shared" si="3"/>
        <v>449.5</v>
      </c>
      <c r="AK54" s="50"/>
    </row>
    <row r="55" spans="1:41" x14ac:dyDescent="0.25">
      <c r="A55" s="44" t="s">
        <v>63</v>
      </c>
      <c r="B55" s="45">
        <v>134.30000000000001</v>
      </c>
      <c r="C55" s="45">
        <v>73</v>
      </c>
      <c r="D55" s="45">
        <v>73</v>
      </c>
      <c r="E55" s="45">
        <v>72</v>
      </c>
      <c r="F55" s="45">
        <v>72.8</v>
      </c>
      <c r="G55" s="45">
        <v>89.6</v>
      </c>
      <c r="H55" s="45">
        <v>91.2</v>
      </c>
      <c r="I55" s="45">
        <v>89.6</v>
      </c>
      <c r="J55" s="45">
        <v>121.3</v>
      </c>
      <c r="K55" s="45">
        <v>130</v>
      </c>
      <c r="L55" s="45">
        <v>130</v>
      </c>
      <c r="M55" s="45">
        <v>128</v>
      </c>
      <c r="N55" s="45">
        <v>129.5</v>
      </c>
      <c r="O55" s="45">
        <v>129.6</v>
      </c>
      <c r="P55" s="45">
        <v>121.4</v>
      </c>
      <c r="Q55" s="45">
        <v>128.69999999999999</v>
      </c>
      <c r="R55" s="45">
        <v>128.4</v>
      </c>
      <c r="S55" s="45">
        <v>128.4</v>
      </c>
      <c r="T55" s="45">
        <v>128.4</v>
      </c>
      <c r="U55" s="45">
        <v>128.4</v>
      </c>
      <c r="V55" s="45">
        <v>131</v>
      </c>
      <c r="W55" s="45">
        <v>131</v>
      </c>
      <c r="X55" s="45">
        <v>131.9</v>
      </c>
      <c r="Y55" s="45">
        <v>131.9</v>
      </c>
      <c r="Z55" s="45">
        <v>131.9</v>
      </c>
      <c r="AA55" s="45">
        <v>131.9</v>
      </c>
      <c r="AB55" s="45">
        <v>131.9</v>
      </c>
      <c r="AC55" s="45">
        <v>131.9</v>
      </c>
      <c r="AD55" s="45">
        <v>131.9</v>
      </c>
      <c r="AE55" s="45">
        <v>131.9</v>
      </c>
      <c r="AF55" s="45">
        <v>131.9</v>
      </c>
      <c r="AG55" s="51">
        <v>144</v>
      </c>
      <c r="AH55" s="47">
        <f t="shared" si="2"/>
        <v>134.30000000000001</v>
      </c>
      <c r="AI55" s="48">
        <f t="shared" si="3"/>
        <v>72</v>
      </c>
      <c r="AK55" s="50"/>
    </row>
    <row r="56" spans="1:41" x14ac:dyDescent="0.25">
      <c r="A56" s="53" t="s">
        <v>64</v>
      </c>
      <c r="B56" s="64">
        <v>69</v>
      </c>
      <c r="C56" s="64">
        <v>69</v>
      </c>
      <c r="D56" s="64">
        <v>69</v>
      </c>
      <c r="E56" s="64">
        <v>59.1</v>
      </c>
      <c r="F56" s="64">
        <v>59.1</v>
      </c>
      <c r="G56" s="64">
        <v>54.1</v>
      </c>
      <c r="H56" s="64">
        <v>69.400000000000006</v>
      </c>
      <c r="I56" s="64">
        <v>70.2</v>
      </c>
      <c r="J56" s="64">
        <v>70.3</v>
      </c>
      <c r="K56" s="64">
        <v>70</v>
      </c>
      <c r="L56" s="64">
        <v>70</v>
      </c>
      <c r="M56" s="64">
        <v>70</v>
      </c>
      <c r="N56" s="64">
        <v>60</v>
      </c>
      <c r="O56" s="64">
        <v>65.900000000000006</v>
      </c>
      <c r="P56" s="64">
        <v>64.8</v>
      </c>
      <c r="Q56" s="64">
        <v>65.3</v>
      </c>
      <c r="R56" s="64">
        <v>68.099999999999994</v>
      </c>
      <c r="S56" s="64">
        <v>68.099999999999994</v>
      </c>
      <c r="T56" s="64">
        <v>68.099999999999994</v>
      </c>
      <c r="U56" s="64">
        <v>68.099999999999994</v>
      </c>
      <c r="V56" s="64">
        <v>68.099999999999994</v>
      </c>
      <c r="W56" s="64">
        <v>68.099999999999994</v>
      </c>
      <c r="X56" s="45">
        <v>70.099999999999994</v>
      </c>
      <c r="Y56" s="45">
        <v>70.099999999999994</v>
      </c>
      <c r="Z56" s="45">
        <v>70.099999999999994</v>
      </c>
      <c r="AA56" s="45">
        <v>70.099999999999994</v>
      </c>
      <c r="AB56" s="45">
        <v>70.099999999999994</v>
      </c>
      <c r="AC56" s="45">
        <v>70.099999999999994</v>
      </c>
      <c r="AD56" s="45">
        <v>70.099999999999994</v>
      </c>
      <c r="AE56" s="45">
        <v>70.099999999999994</v>
      </c>
      <c r="AF56" s="45">
        <v>70.099999999999994</v>
      </c>
      <c r="AG56" s="54">
        <v>70</v>
      </c>
      <c r="AH56" s="47">
        <f t="shared" si="2"/>
        <v>70.3</v>
      </c>
      <c r="AI56" s="48">
        <f t="shared" si="3"/>
        <v>54.1</v>
      </c>
      <c r="AK56" s="50"/>
    </row>
    <row r="57" spans="1:41" x14ac:dyDescent="0.25">
      <c r="A57" s="53" t="s">
        <v>65</v>
      </c>
      <c r="B57" s="64">
        <v>64.3</v>
      </c>
      <c r="C57" s="64">
        <v>64.3</v>
      </c>
      <c r="D57" s="64">
        <v>64.3</v>
      </c>
      <c r="E57" s="64">
        <v>53.1</v>
      </c>
      <c r="F57" s="64">
        <v>53</v>
      </c>
      <c r="G57" s="64">
        <v>48.2</v>
      </c>
      <c r="H57" s="64">
        <v>63</v>
      </c>
      <c r="I57" s="64">
        <v>63</v>
      </c>
      <c r="J57" s="64">
        <v>63.1</v>
      </c>
      <c r="K57" s="64">
        <v>63.4</v>
      </c>
      <c r="L57" s="64">
        <v>63.4</v>
      </c>
      <c r="M57" s="64">
        <v>63.4</v>
      </c>
      <c r="N57" s="64">
        <v>63.4</v>
      </c>
      <c r="O57" s="64">
        <v>63.1</v>
      </c>
      <c r="P57" s="64">
        <v>63.1</v>
      </c>
      <c r="Q57" s="64">
        <v>63.5</v>
      </c>
      <c r="R57" s="64">
        <v>63.2</v>
      </c>
      <c r="S57" s="64">
        <v>63.2</v>
      </c>
      <c r="T57" s="64">
        <v>50.3</v>
      </c>
      <c r="U57" s="64">
        <v>50.3</v>
      </c>
      <c r="V57" s="64">
        <v>64.099999999999994</v>
      </c>
      <c r="W57" s="64">
        <v>64.099999999999994</v>
      </c>
      <c r="X57" s="45">
        <v>64.3</v>
      </c>
      <c r="Y57" s="45">
        <v>64.3</v>
      </c>
      <c r="Z57" s="45">
        <v>64.3</v>
      </c>
      <c r="AA57" s="45">
        <v>64.3</v>
      </c>
      <c r="AB57" s="45">
        <v>64.3</v>
      </c>
      <c r="AC57" s="45">
        <v>64.3</v>
      </c>
      <c r="AD57" s="45">
        <v>64.3</v>
      </c>
      <c r="AE57" s="45">
        <v>64.3</v>
      </c>
      <c r="AF57" s="45">
        <v>64.3</v>
      </c>
      <c r="AG57" s="54">
        <v>69</v>
      </c>
      <c r="AH57" s="47">
        <f t="shared" si="2"/>
        <v>64.3</v>
      </c>
      <c r="AI57" s="48">
        <f t="shared" si="3"/>
        <v>48.2</v>
      </c>
      <c r="AK57" s="50"/>
    </row>
    <row r="58" spans="1:41" x14ac:dyDescent="0.25">
      <c r="A58" s="53" t="s">
        <v>66</v>
      </c>
      <c r="B58" s="64">
        <v>41.3</v>
      </c>
      <c r="C58" s="64">
        <v>53.5</v>
      </c>
      <c r="D58" s="64">
        <v>53.5</v>
      </c>
      <c r="E58" s="56">
        <v>53.2</v>
      </c>
      <c r="F58" s="56">
        <v>53.6</v>
      </c>
      <c r="G58" s="56">
        <v>42.3</v>
      </c>
      <c r="H58" s="56">
        <v>0</v>
      </c>
      <c r="I58" s="56">
        <v>0</v>
      </c>
      <c r="J58" s="56">
        <v>0</v>
      </c>
      <c r="K58" s="56">
        <v>0</v>
      </c>
      <c r="L58" s="56">
        <v>0</v>
      </c>
      <c r="M58" s="56">
        <v>0</v>
      </c>
      <c r="N58" s="56">
        <v>0</v>
      </c>
      <c r="O58" s="56">
        <v>55.7</v>
      </c>
      <c r="P58" s="56">
        <v>55.7</v>
      </c>
      <c r="Q58" s="56">
        <v>60</v>
      </c>
      <c r="R58" s="56">
        <v>58</v>
      </c>
      <c r="S58" s="56">
        <v>58</v>
      </c>
      <c r="T58" s="56">
        <v>58</v>
      </c>
      <c r="U58" s="56">
        <v>58</v>
      </c>
      <c r="V58" s="56">
        <v>60.4</v>
      </c>
      <c r="W58" s="56">
        <v>60.4</v>
      </c>
      <c r="X58" s="45">
        <v>61.4</v>
      </c>
      <c r="Y58" s="45">
        <v>61.4</v>
      </c>
      <c r="Z58" s="45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61.4</v>
      </c>
      <c r="AF58" s="45">
        <v>61.4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56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28.5</v>
      </c>
      <c r="K59" s="56">
        <v>28</v>
      </c>
      <c r="L59" s="56">
        <v>28</v>
      </c>
      <c r="M59" s="56">
        <v>28</v>
      </c>
      <c r="N59" s="56">
        <v>28</v>
      </c>
      <c r="O59" s="56">
        <v>28</v>
      </c>
      <c r="P59" s="56">
        <v>28</v>
      </c>
      <c r="Q59" s="56">
        <v>28</v>
      </c>
      <c r="R59" s="56">
        <v>28</v>
      </c>
      <c r="S59" s="56">
        <v>28</v>
      </c>
      <c r="T59" s="56">
        <v>28</v>
      </c>
      <c r="U59" s="56">
        <v>28</v>
      </c>
      <c r="V59" s="56">
        <v>28</v>
      </c>
      <c r="W59" s="56">
        <v>28</v>
      </c>
      <c r="X59" s="45">
        <v>30</v>
      </c>
      <c r="Y59" s="45">
        <v>30</v>
      </c>
      <c r="Z59" s="45">
        <v>30</v>
      </c>
      <c r="AA59" s="45">
        <v>30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1.8</v>
      </c>
      <c r="L60" s="64">
        <v>1.8</v>
      </c>
      <c r="M60" s="64">
        <v>5</v>
      </c>
      <c r="N60" s="64">
        <v>12</v>
      </c>
      <c r="O60" s="64">
        <v>9.1999999999999993</v>
      </c>
      <c r="P60" s="64">
        <v>9.1999999999999993</v>
      </c>
      <c r="Q60" s="64">
        <v>18.600000000000001</v>
      </c>
      <c r="R60" s="64">
        <v>17.7</v>
      </c>
      <c r="S60" s="64">
        <v>17.7</v>
      </c>
      <c r="T60" s="64">
        <v>12.7</v>
      </c>
      <c r="U60" s="64">
        <v>12.7</v>
      </c>
      <c r="V60" s="64">
        <v>4</v>
      </c>
      <c r="W60" s="64">
        <v>2.9</v>
      </c>
      <c r="X60" s="45">
        <v>1.4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-21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-21</v>
      </c>
      <c r="AK61" s="50"/>
    </row>
    <row r="62" spans="1:41" x14ac:dyDescent="0.25">
      <c r="A62" s="53" t="s">
        <v>70</v>
      </c>
      <c r="B62" s="64">
        <v>2.2000000000000002</v>
      </c>
      <c r="C62" s="64">
        <v>2.2000000000000002</v>
      </c>
      <c r="D62" s="64">
        <v>2.2000000000000002</v>
      </c>
      <c r="E62" s="64">
        <v>2.2000000000000002</v>
      </c>
      <c r="F62" s="64">
        <v>2.2000000000000002</v>
      </c>
      <c r="G62" s="64">
        <v>2.2000000000000002</v>
      </c>
      <c r="H62" s="64">
        <v>2.2000000000000002</v>
      </c>
      <c r="I62" s="64">
        <v>2.2000000000000002</v>
      </c>
      <c r="J62" s="64">
        <v>2.2000000000000002</v>
      </c>
      <c r="K62" s="64">
        <v>2.2000000000000002</v>
      </c>
      <c r="L62" s="64">
        <v>2.2000000000000002</v>
      </c>
      <c r="M62" s="64">
        <v>2.2000000000000002</v>
      </c>
      <c r="N62" s="64">
        <v>2.2000000000000002</v>
      </c>
      <c r="O62" s="64">
        <v>0</v>
      </c>
      <c r="P62" s="64">
        <v>0</v>
      </c>
      <c r="Q62" s="64">
        <v>0</v>
      </c>
      <c r="R62" s="64">
        <v>0</v>
      </c>
      <c r="S62" s="64">
        <v>2.8</v>
      </c>
      <c r="T62" s="64">
        <v>2.8</v>
      </c>
      <c r="U62" s="64">
        <v>2.8</v>
      </c>
      <c r="V62" s="64">
        <v>2.8</v>
      </c>
      <c r="W62" s="64">
        <v>2.8</v>
      </c>
      <c r="X62" s="64">
        <v>2.8</v>
      </c>
      <c r="Y62" s="64">
        <v>2.8</v>
      </c>
      <c r="Z62" s="64">
        <v>5.5</v>
      </c>
      <c r="AA62" s="64">
        <v>5.5</v>
      </c>
      <c r="AB62" s="64">
        <v>5.5</v>
      </c>
      <c r="AC62" s="64">
        <v>5.5</v>
      </c>
      <c r="AD62" s="64">
        <v>5.5</v>
      </c>
      <c r="AE62" s="64">
        <v>5.5</v>
      </c>
      <c r="AF62" s="64">
        <v>5.5</v>
      </c>
      <c r="AG62" s="54">
        <v>15</v>
      </c>
      <c r="AH62" s="47">
        <f t="shared" si="2"/>
        <v>5.5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</v>
      </c>
      <c r="C63" s="64">
        <v>9</v>
      </c>
      <c r="D63" s="64">
        <v>9</v>
      </c>
      <c r="E63" s="64">
        <v>8.3000000000000007</v>
      </c>
      <c r="F63" s="64">
        <v>8.3000000000000007</v>
      </c>
      <c r="G63" s="64">
        <v>8.3000000000000007</v>
      </c>
      <c r="H63" s="64">
        <v>8.3000000000000007</v>
      </c>
      <c r="I63" s="64">
        <v>8.3000000000000007</v>
      </c>
      <c r="J63" s="64">
        <v>8.3000000000000007</v>
      </c>
      <c r="K63" s="64">
        <v>8.3000000000000007</v>
      </c>
      <c r="L63" s="64">
        <v>8.3000000000000007</v>
      </c>
      <c r="M63" s="64">
        <v>8.3000000000000007</v>
      </c>
      <c r="N63" s="64">
        <v>8.3000000000000007</v>
      </c>
      <c r="O63" s="64">
        <v>9</v>
      </c>
      <c r="P63" s="64">
        <v>9</v>
      </c>
      <c r="Q63" s="64">
        <v>9.1</v>
      </c>
      <c r="R63" s="64">
        <v>9.3000000000000007</v>
      </c>
      <c r="S63" s="64">
        <v>9.3000000000000007</v>
      </c>
      <c r="T63" s="64">
        <v>8</v>
      </c>
      <c r="U63" s="64">
        <v>8</v>
      </c>
      <c r="V63" s="64">
        <v>8</v>
      </c>
      <c r="W63" s="64">
        <v>8</v>
      </c>
      <c r="X63" s="64">
        <v>8</v>
      </c>
      <c r="Y63" s="64">
        <v>8</v>
      </c>
      <c r="Z63" s="64">
        <v>8</v>
      </c>
      <c r="AA63" s="64">
        <v>8</v>
      </c>
      <c r="AB63" s="64">
        <v>8</v>
      </c>
      <c r="AC63" s="64">
        <v>8</v>
      </c>
      <c r="AD63" s="64">
        <v>8</v>
      </c>
      <c r="AE63" s="64">
        <v>8</v>
      </c>
      <c r="AF63" s="64">
        <v>8</v>
      </c>
      <c r="AG63" s="54">
        <v>14.1</v>
      </c>
      <c r="AH63" s="47">
        <f t="shared" si="2"/>
        <v>9.3000000000000007</v>
      </c>
      <c r="AI63" s="48">
        <f t="shared" si="3"/>
        <v>8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</v>
      </c>
      <c r="C64" s="64">
        <v>6</v>
      </c>
      <c r="D64" s="64">
        <v>6</v>
      </c>
      <c r="E64" s="64">
        <v>2.8</v>
      </c>
      <c r="F64" s="64">
        <v>2.8</v>
      </c>
      <c r="G64" s="64">
        <v>2.8</v>
      </c>
      <c r="H64" s="64">
        <v>2.8</v>
      </c>
      <c r="I64" s="64">
        <v>2.8</v>
      </c>
      <c r="J64" s="64">
        <v>2.8</v>
      </c>
      <c r="K64" s="64">
        <v>2.8</v>
      </c>
      <c r="L64" s="64">
        <v>2.8</v>
      </c>
      <c r="M64" s="64">
        <v>6.6</v>
      </c>
      <c r="N64" s="64">
        <v>6.6</v>
      </c>
      <c r="O64" s="64">
        <v>6.6</v>
      </c>
      <c r="P64" s="64">
        <v>6.6</v>
      </c>
      <c r="Q64" s="64">
        <v>6.5</v>
      </c>
      <c r="R64" s="64">
        <v>6.6</v>
      </c>
      <c r="S64" s="64">
        <v>6.6</v>
      </c>
      <c r="T64" s="64">
        <v>13.1</v>
      </c>
      <c r="U64" s="64">
        <v>13.1</v>
      </c>
      <c r="V64" s="64">
        <v>13.1</v>
      </c>
      <c r="W64" s="64">
        <v>13.1</v>
      </c>
      <c r="X64" s="64">
        <v>13.1</v>
      </c>
      <c r="Y64" s="64">
        <v>13.1</v>
      </c>
      <c r="Z64" s="64">
        <v>13.1</v>
      </c>
      <c r="AA64" s="64">
        <v>13.1</v>
      </c>
      <c r="AB64" s="64">
        <v>13.1</v>
      </c>
      <c r="AC64" s="64">
        <v>13.1</v>
      </c>
      <c r="AD64" s="64">
        <v>13.1</v>
      </c>
      <c r="AE64" s="64">
        <v>13.1</v>
      </c>
      <c r="AF64" s="64">
        <v>13.1</v>
      </c>
      <c r="AG64" s="54">
        <v>14</v>
      </c>
      <c r="AH64" s="47">
        <f t="shared" si="2"/>
        <v>13.1</v>
      </c>
      <c r="AI64" s="48">
        <f t="shared" si="3"/>
        <v>2.8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0</v>
      </c>
      <c r="N65" s="64">
        <v>0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0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389.84000000000003</v>
      </c>
      <c r="C68" s="60">
        <f t="shared" si="6"/>
        <v>340.74</v>
      </c>
      <c r="D68" s="60">
        <f t="shared" si="6"/>
        <v>340.74</v>
      </c>
      <c r="E68" s="60">
        <f t="shared" si="6"/>
        <v>315.44</v>
      </c>
      <c r="F68" s="60">
        <f t="shared" si="6"/>
        <v>316.54000000000002</v>
      </c>
      <c r="G68" s="60">
        <f t="shared" si="6"/>
        <v>312.24</v>
      </c>
      <c r="H68" s="60">
        <f t="shared" si="6"/>
        <v>301.64000000000004</v>
      </c>
      <c r="I68" s="60">
        <f t="shared" si="6"/>
        <v>300.84000000000003</v>
      </c>
      <c r="J68" s="60">
        <f t="shared" si="6"/>
        <v>294.24</v>
      </c>
      <c r="K68" s="60">
        <f t="shared" si="6"/>
        <v>341.24</v>
      </c>
      <c r="L68" s="60">
        <f t="shared" si="6"/>
        <v>341.24</v>
      </c>
      <c r="M68" s="60">
        <f t="shared" si="6"/>
        <v>337.24</v>
      </c>
      <c r="N68" s="60">
        <f t="shared" si="6"/>
        <v>335.74</v>
      </c>
      <c r="O68" s="60">
        <f t="shared" si="6"/>
        <v>401.84000000000003</v>
      </c>
      <c r="P68" s="60">
        <f t="shared" si="6"/>
        <v>392.54</v>
      </c>
      <c r="Q68" s="60">
        <f t="shared" si="6"/>
        <v>414.44000000000005</v>
      </c>
      <c r="R68" s="60">
        <f>SUM(R55:R67)</f>
        <v>414.04</v>
      </c>
      <c r="S68" s="60">
        <f t="shared" si="6"/>
        <v>416.84000000000003</v>
      </c>
      <c r="T68" s="60">
        <f t="shared" si="6"/>
        <v>404.14000000000004</v>
      </c>
      <c r="U68" s="60">
        <f t="shared" si="6"/>
        <v>404.14000000000004</v>
      </c>
      <c r="V68" s="60">
        <f t="shared" si="6"/>
        <v>414.24</v>
      </c>
      <c r="W68" s="60">
        <f t="shared" si="6"/>
        <v>413.14</v>
      </c>
      <c r="X68" s="60">
        <f t="shared" si="6"/>
        <v>417.74</v>
      </c>
      <c r="Y68" s="60">
        <f t="shared" si="6"/>
        <v>416.34000000000003</v>
      </c>
      <c r="Z68" s="60">
        <f t="shared" si="6"/>
        <v>419.04</v>
      </c>
      <c r="AA68" s="60">
        <f t="shared" si="6"/>
        <v>419.04</v>
      </c>
      <c r="AB68" s="60">
        <f t="shared" si="6"/>
        <v>389.04</v>
      </c>
      <c r="AC68" s="60">
        <f t="shared" si="6"/>
        <v>389.04</v>
      </c>
      <c r="AD68" s="60">
        <f t="shared" si="6"/>
        <v>389.04</v>
      </c>
      <c r="AE68" s="60">
        <f t="shared" si="6"/>
        <v>389.04</v>
      </c>
      <c r="AF68" s="60">
        <f t="shared" si="6"/>
        <v>389.04</v>
      </c>
      <c r="AG68" s="61">
        <f t="shared" si="6"/>
        <v>489.91</v>
      </c>
      <c r="AH68" s="47">
        <f t="shared" si="2"/>
        <v>419.04</v>
      </c>
      <c r="AI68" s="48">
        <f t="shared" si="3"/>
        <v>294.24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>R69+R70+R71</f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3.6</v>
      </c>
      <c r="C73" s="45">
        <v>11.4</v>
      </c>
      <c r="D73" s="45">
        <v>22.4</v>
      </c>
      <c r="E73" s="45">
        <v>11</v>
      </c>
      <c r="F73" s="45">
        <v>-5.3</v>
      </c>
      <c r="G73" s="45">
        <v>-2.5</v>
      </c>
      <c r="H73" s="45">
        <v>0</v>
      </c>
      <c r="I73" s="45">
        <v>-7</v>
      </c>
      <c r="J73" s="45">
        <v>-20</v>
      </c>
      <c r="K73" s="45">
        <v>-21</v>
      </c>
      <c r="L73" s="45">
        <v>-22</v>
      </c>
      <c r="M73" s="45">
        <v>-20</v>
      </c>
      <c r="N73" s="45">
        <v>-16.3</v>
      </c>
      <c r="O73" s="45">
        <v>-16.600000000000001</v>
      </c>
      <c r="P73" s="45">
        <v>-7.1</v>
      </c>
      <c r="Q73" s="45">
        <v>-10.1</v>
      </c>
      <c r="R73" s="45">
        <v>-15.6</v>
      </c>
      <c r="S73" s="45">
        <v>-20.7</v>
      </c>
      <c r="T73" s="45">
        <v>-19.3</v>
      </c>
      <c r="U73" s="45">
        <v>-8.4</v>
      </c>
      <c r="V73" s="45">
        <v>-9.5</v>
      </c>
      <c r="W73" s="45">
        <v>-3.9</v>
      </c>
      <c r="X73" s="45">
        <v>-7.2</v>
      </c>
      <c r="Y73" s="45">
        <v>-5.8</v>
      </c>
      <c r="Z73" s="45">
        <v>6.4</v>
      </c>
      <c r="AA73" s="45">
        <v>36</v>
      </c>
      <c r="AB73" s="45">
        <v>40</v>
      </c>
      <c r="AC73" s="45">
        <v>40</v>
      </c>
      <c r="AD73" s="45">
        <v>30</v>
      </c>
      <c r="AE73" s="45">
        <v>8</v>
      </c>
      <c r="AF73" s="45">
        <v>2</v>
      </c>
      <c r="AG73" s="51"/>
      <c r="AH73" s="47">
        <f t="shared" si="2"/>
        <v>40</v>
      </c>
      <c r="AI73" s="48">
        <f t="shared" si="3"/>
        <v>-22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/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-326</v>
      </c>
      <c r="C75" s="64">
        <v>-310</v>
      </c>
      <c r="D75" s="64">
        <v>-287</v>
      </c>
      <c r="E75" s="64">
        <v>-377</v>
      </c>
      <c r="F75" s="64">
        <v>-395.7</v>
      </c>
      <c r="G75" s="64">
        <v>-405</v>
      </c>
      <c r="H75" s="64">
        <v>-433</v>
      </c>
      <c r="I75" s="64">
        <v>-447</v>
      </c>
      <c r="J75" s="64">
        <v>-434</v>
      </c>
      <c r="K75" s="64">
        <v>-453</v>
      </c>
      <c r="L75" s="64">
        <v>-399</v>
      </c>
      <c r="M75" s="64">
        <v>-300.60000000000002</v>
      </c>
      <c r="N75" s="64">
        <v>-269.60000000000002</v>
      </c>
      <c r="O75" s="64">
        <v>-220.9</v>
      </c>
      <c r="P75" s="64">
        <v>-172</v>
      </c>
      <c r="Q75" s="64">
        <v>-185.7</v>
      </c>
      <c r="R75" s="64">
        <v>-170</v>
      </c>
      <c r="S75" s="64">
        <v>-129</v>
      </c>
      <c r="T75" s="64">
        <v>-125</v>
      </c>
      <c r="U75" s="64">
        <v>-145.1</v>
      </c>
      <c r="V75" s="64">
        <v>-250</v>
      </c>
      <c r="W75" s="64">
        <v>-231</v>
      </c>
      <c r="X75" s="64">
        <v>-412.4</v>
      </c>
      <c r="Y75" s="64">
        <v>-364</v>
      </c>
      <c r="Z75" s="64">
        <v>-292</v>
      </c>
      <c r="AA75" s="64">
        <v>-280</v>
      </c>
      <c r="AB75" s="64">
        <v>-260</v>
      </c>
      <c r="AC75" s="64">
        <v>-270</v>
      </c>
      <c r="AD75" s="64">
        <v>-294</v>
      </c>
      <c r="AE75" s="64">
        <v>-276</v>
      </c>
      <c r="AF75" s="64">
        <v>-300</v>
      </c>
      <c r="AG75" s="74"/>
      <c r="AH75" s="47">
        <f t="shared" si="2"/>
        <v>-125</v>
      </c>
      <c r="AI75" s="48">
        <f t="shared" si="3"/>
        <v>-453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75"/>
      <c r="F76" s="75"/>
      <c r="G76" s="75"/>
      <c r="H76" s="75"/>
      <c r="I76" s="75"/>
      <c r="J76" s="75">
        <v>0</v>
      </c>
      <c r="K76" s="75">
        <v>0</v>
      </c>
      <c r="L76" s="75">
        <v>0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>
        <v>0</v>
      </c>
      <c r="C78" s="45">
        <v>0</v>
      </c>
      <c r="D78" s="45">
        <v>0</v>
      </c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 t="shared" ref="B84:AF84" si="10">SUMIF(B73:B83,"&gt;0")</f>
        <v>3.6</v>
      </c>
      <c r="C84" s="60">
        <f t="shared" si="10"/>
        <v>11.4</v>
      </c>
      <c r="D84" s="60">
        <f t="shared" si="10"/>
        <v>22.4</v>
      </c>
      <c r="E84" s="60">
        <f t="shared" si="10"/>
        <v>11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>SUMIF(R73:R83,"&gt;0")</f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6.4</v>
      </c>
      <c r="AA84" s="60">
        <f t="shared" si="10"/>
        <v>36</v>
      </c>
      <c r="AB84" s="60">
        <f t="shared" si="10"/>
        <v>40</v>
      </c>
      <c r="AC84" s="60">
        <f t="shared" si="10"/>
        <v>40</v>
      </c>
      <c r="AD84" s="60">
        <f t="shared" si="10"/>
        <v>30</v>
      </c>
      <c r="AE84" s="60">
        <f t="shared" si="10"/>
        <v>8</v>
      </c>
      <c r="AF84" s="60">
        <f t="shared" si="10"/>
        <v>2</v>
      </c>
      <c r="AG84" s="87">
        <f>SUM(AG73:AG83)</f>
        <v>0</v>
      </c>
      <c r="AH84" s="47">
        <f t="shared" si="8"/>
        <v>40</v>
      </c>
      <c r="AI84" s="48">
        <f t="shared" si="9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1972.04</v>
      </c>
      <c r="C89" s="94">
        <f t="shared" si="11"/>
        <v>1869.44</v>
      </c>
      <c r="D89" s="94">
        <f t="shared" si="11"/>
        <v>1850.44</v>
      </c>
      <c r="E89" s="94">
        <f t="shared" si="11"/>
        <v>1870.84</v>
      </c>
      <c r="F89" s="94">
        <f t="shared" si="11"/>
        <v>1860.34</v>
      </c>
      <c r="G89" s="94">
        <f t="shared" si="11"/>
        <v>1877.34</v>
      </c>
      <c r="H89" s="94">
        <f t="shared" si="11"/>
        <v>1866.64</v>
      </c>
      <c r="I89" s="94">
        <f t="shared" si="11"/>
        <v>1865.8400000000001</v>
      </c>
      <c r="J89" s="94">
        <f t="shared" si="11"/>
        <v>1860.14</v>
      </c>
      <c r="K89" s="94">
        <f t="shared" si="11"/>
        <v>1907.14</v>
      </c>
      <c r="L89" s="94">
        <f t="shared" si="11"/>
        <v>1908.04</v>
      </c>
      <c r="M89" s="94">
        <f t="shared" si="11"/>
        <v>1910.84</v>
      </c>
      <c r="N89" s="94">
        <f t="shared" si="11"/>
        <v>1843.34</v>
      </c>
      <c r="O89" s="94">
        <f t="shared" si="11"/>
        <v>1905.3400000000001</v>
      </c>
      <c r="P89" s="94">
        <f t="shared" si="11"/>
        <v>1856.44</v>
      </c>
      <c r="Q89" s="94">
        <f t="shared" si="11"/>
        <v>1878.3400000000001</v>
      </c>
      <c r="R89" s="94">
        <f>R50+R54+R72+R68+R84+R88</f>
        <v>1879.34</v>
      </c>
      <c r="S89" s="94">
        <f t="shared" si="11"/>
        <v>1878.1399999999999</v>
      </c>
      <c r="T89" s="94">
        <f t="shared" si="11"/>
        <v>1826.44</v>
      </c>
      <c r="U89" s="94">
        <f t="shared" si="11"/>
        <v>1832.8400000000001</v>
      </c>
      <c r="V89" s="94">
        <f t="shared" si="11"/>
        <v>1842.94</v>
      </c>
      <c r="W89" s="94">
        <f t="shared" si="11"/>
        <v>1841.8400000000001</v>
      </c>
      <c r="X89" s="94">
        <f t="shared" si="11"/>
        <v>1965.5400000000002</v>
      </c>
      <c r="Y89" s="94">
        <f t="shared" si="11"/>
        <v>1964.1400000000003</v>
      </c>
      <c r="Z89" s="94">
        <f t="shared" si="11"/>
        <v>2072.04</v>
      </c>
      <c r="AA89" s="94">
        <f t="shared" si="11"/>
        <v>2101.64</v>
      </c>
      <c r="AB89" s="94">
        <f t="shared" si="11"/>
        <v>2039.44</v>
      </c>
      <c r="AC89" s="94">
        <f t="shared" si="11"/>
        <v>2065.14</v>
      </c>
      <c r="AD89" s="94">
        <f t="shared" si="11"/>
        <v>2033.1399999999999</v>
      </c>
      <c r="AE89" s="94">
        <f t="shared" si="11"/>
        <v>2011.1399999999999</v>
      </c>
      <c r="AF89" s="94">
        <f t="shared" si="11"/>
        <v>2005.1399999999999</v>
      </c>
      <c r="AG89" s="61">
        <f t="shared" si="11"/>
        <v>2111.5500000000002</v>
      </c>
      <c r="AH89" s="47">
        <f t="shared" si="8"/>
        <v>2101.64</v>
      </c>
      <c r="AI89" s="48">
        <f t="shared" si="9"/>
        <v>1826.44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1972.04</v>
      </c>
      <c r="C91" s="94">
        <f t="shared" si="12"/>
        <v>1869.44</v>
      </c>
      <c r="D91" s="94">
        <f t="shared" si="12"/>
        <v>1850.44</v>
      </c>
      <c r="E91" s="94">
        <f t="shared" si="12"/>
        <v>1870.84</v>
      </c>
      <c r="F91" s="94">
        <f t="shared" si="12"/>
        <v>1860.34</v>
      </c>
      <c r="G91" s="94">
        <f t="shared" si="12"/>
        <v>1877.34</v>
      </c>
      <c r="H91" s="94">
        <f t="shared" si="12"/>
        <v>1866.64</v>
      </c>
      <c r="I91" s="94">
        <f t="shared" si="12"/>
        <v>1865.8400000000001</v>
      </c>
      <c r="J91" s="94">
        <f t="shared" si="12"/>
        <v>1860.14</v>
      </c>
      <c r="K91" s="94">
        <f t="shared" si="12"/>
        <v>1907.14</v>
      </c>
      <c r="L91" s="94">
        <f t="shared" si="12"/>
        <v>1908.04</v>
      </c>
      <c r="M91" s="94">
        <f t="shared" si="12"/>
        <v>1910.84</v>
      </c>
      <c r="N91" s="94">
        <f t="shared" si="12"/>
        <v>1843.34</v>
      </c>
      <c r="O91" s="94">
        <f t="shared" si="12"/>
        <v>1905.3400000000001</v>
      </c>
      <c r="P91" s="94">
        <f t="shared" si="12"/>
        <v>1856.44</v>
      </c>
      <c r="Q91" s="94">
        <f t="shared" si="12"/>
        <v>1878.3400000000001</v>
      </c>
      <c r="R91" s="94">
        <f>R89+R90</f>
        <v>1879.34</v>
      </c>
      <c r="S91" s="94">
        <f t="shared" si="12"/>
        <v>1878.1399999999999</v>
      </c>
      <c r="T91" s="94">
        <f t="shared" si="12"/>
        <v>1826.44</v>
      </c>
      <c r="U91" s="94">
        <f t="shared" si="12"/>
        <v>1832.8400000000001</v>
      </c>
      <c r="V91" s="94">
        <f t="shared" si="12"/>
        <v>1842.94</v>
      </c>
      <c r="W91" s="94">
        <f t="shared" si="12"/>
        <v>1841.8400000000001</v>
      </c>
      <c r="X91" s="94">
        <f t="shared" si="12"/>
        <v>1965.5400000000002</v>
      </c>
      <c r="Y91" s="94">
        <f t="shared" si="12"/>
        <v>1964.1400000000003</v>
      </c>
      <c r="Z91" s="94">
        <f t="shared" si="12"/>
        <v>2072.04</v>
      </c>
      <c r="AA91" s="94">
        <f t="shared" si="12"/>
        <v>2101.64</v>
      </c>
      <c r="AB91" s="94">
        <f t="shared" si="12"/>
        <v>2039.44</v>
      </c>
      <c r="AC91" s="94">
        <f t="shared" si="12"/>
        <v>2065.14</v>
      </c>
      <c r="AD91" s="94">
        <f t="shared" si="12"/>
        <v>2033.1399999999999</v>
      </c>
      <c r="AE91" s="94">
        <f t="shared" si="12"/>
        <v>2011.1399999999999</v>
      </c>
      <c r="AF91" s="94">
        <f t="shared" si="12"/>
        <v>2005.1399999999999</v>
      </c>
      <c r="AG91" s="87">
        <f>AG88+AG84+AG72+AG68+AG50+AG90</f>
        <v>1573.45</v>
      </c>
      <c r="AH91" s="47">
        <f t="shared" si="8"/>
        <v>2101.64</v>
      </c>
      <c r="AI91" s="48">
        <f t="shared" si="9"/>
        <v>1826.44</v>
      </c>
    </row>
    <row r="92" spans="1:40" ht="15.75" thickBot="1" x14ac:dyDescent="0.3">
      <c r="A92" s="73" t="s">
        <v>103</v>
      </c>
      <c r="B92" s="94">
        <f t="shared" ref="B92:AF92" si="13">B91-B99</f>
        <v>1972.04</v>
      </c>
      <c r="C92" s="94">
        <f t="shared" si="13"/>
        <v>1869.44</v>
      </c>
      <c r="D92" s="94">
        <f t="shared" si="13"/>
        <v>1850.44</v>
      </c>
      <c r="E92" s="94">
        <f t="shared" si="13"/>
        <v>1870.84</v>
      </c>
      <c r="F92" s="94">
        <f t="shared" si="13"/>
        <v>1860.34</v>
      </c>
      <c r="G92" s="94">
        <f t="shared" si="13"/>
        <v>1877.34</v>
      </c>
      <c r="H92" s="94">
        <f t="shared" si="13"/>
        <v>1866.64</v>
      </c>
      <c r="I92" s="94">
        <f t="shared" si="13"/>
        <v>1865.8400000000001</v>
      </c>
      <c r="J92" s="94">
        <f t="shared" si="13"/>
        <v>1860.14</v>
      </c>
      <c r="K92" s="94">
        <f t="shared" si="13"/>
        <v>1907.14</v>
      </c>
      <c r="L92" s="94">
        <f t="shared" si="13"/>
        <v>1908.04</v>
      </c>
      <c r="M92" s="94">
        <f t="shared" si="13"/>
        <v>1910.84</v>
      </c>
      <c r="N92" s="94">
        <f t="shared" si="13"/>
        <v>1843.34</v>
      </c>
      <c r="O92" s="94">
        <f t="shared" si="13"/>
        <v>1905.3400000000001</v>
      </c>
      <c r="P92" s="94">
        <f t="shared" si="13"/>
        <v>1856.44</v>
      </c>
      <c r="Q92" s="94">
        <f t="shared" si="13"/>
        <v>1878.3400000000001</v>
      </c>
      <c r="R92" s="94">
        <f>R91-R99</f>
        <v>1879.34</v>
      </c>
      <c r="S92" s="94">
        <f t="shared" si="13"/>
        <v>1878.1399999999999</v>
      </c>
      <c r="T92" s="94">
        <f t="shared" si="13"/>
        <v>1826.44</v>
      </c>
      <c r="U92" s="94">
        <f t="shared" si="13"/>
        <v>1832.8400000000001</v>
      </c>
      <c r="V92" s="94">
        <f t="shared" si="13"/>
        <v>1842.94</v>
      </c>
      <c r="W92" s="94">
        <f t="shared" si="13"/>
        <v>1841.8400000000001</v>
      </c>
      <c r="X92" s="94">
        <f t="shared" si="13"/>
        <v>1965.5400000000002</v>
      </c>
      <c r="Y92" s="94">
        <f t="shared" si="13"/>
        <v>1964.1400000000003</v>
      </c>
      <c r="Z92" s="94">
        <f t="shared" si="13"/>
        <v>2072.04</v>
      </c>
      <c r="AA92" s="94">
        <f t="shared" si="13"/>
        <v>2101.64</v>
      </c>
      <c r="AB92" s="94">
        <f t="shared" si="13"/>
        <v>2039.44</v>
      </c>
      <c r="AC92" s="94">
        <f t="shared" si="13"/>
        <v>2065.14</v>
      </c>
      <c r="AD92" s="94">
        <f t="shared" si="13"/>
        <v>2033.1399999999999</v>
      </c>
      <c r="AE92" s="94">
        <f t="shared" si="13"/>
        <v>2011.1399999999999</v>
      </c>
      <c r="AF92" s="94">
        <f t="shared" si="13"/>
        <v>2005.1399999999999</v>
      </c>
      <c r="AG92" s="87"/>
      <c r="AH92" s="47">
        <f t="shared" si="8"/>
        <v>2101.64</v>
      </c>
      <c r="AI92" s="48">
        <f t="shared" si="9"/>
        <v>1826.44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 t="shared" ref="B100:AF100" si="14">B84-B99</f>
        <v>3.6</v>
      </c>
      <c r="C100" s="60">
        <f t="shared" si="14"/>
        <v>11.4</v>
      </c>
      <c r="D100" s="60">
        <f t="shared" si="14"/>
        <v>22.4</v>
      </c>
      <c r="E100" s="60">
        <f t="shared" si="14"/>
        <v>11</v>
      </c>
      <c r="F100" s="60">
        <f t="shared" si="14"/>
        <v>0</v>
      </c>
      <c r="G100" s="60">
        <f t="shared" si="14"/>
        <v>0</v>
      </c>
      <c r="H100" s="60">
        <f t="shared" si="14"/>
        <v>0</v>
      </c>
      <c r="I100" s="60">
        <f t="shared" si="14"/>
        <v>0</v>
      </c>
      <c r="J100" s="60">
        <f t="shared" si="14"/>
        <v>0</v>
      </c>
      <c r="K100" s="60">
        <f t="shared" si="14"/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0</v>
      </c>
      <c r="P100" s="60">
        <f t="shared" si="14"/>
        <v>0</v>
      </c>
      <c r="Q100" s="60">
        <f t="shared" si="14"/>
        <v>0</v>
      </c>
      <c r="R100" s="60">
        <f>R84-R99</f>
        <v>0</v>
      </c>
      <c r="S100" s="60">
        <f t="shared" si="14"/>
        <v>0</v>
      </c>
      <c r="T100" s="60">
        <f t="shared" si="14"/>
        <v>0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0</v>
      </c>
      <c r="Y100" s="60">
        <f t="shared" si="14"/>
        <v>0</v>
      </c>
      <c r="Z100" s="60">
        <f t="shared" si="14"/>
        <v>6.4</v>
      </c>
      <c r="AA100" s="60">
        <f t="shared" si="14"/>
        <v>36</v>
      </c>
      <c r="AB100" s="60">
        <f t="shared" si="14"/>
        <v>40</v>
      </c>
      <c r="AC100" s="60">
        <f t="shared" si="14"/>
        <v>40</v>
      </c>
      <c r="AD100" s="60">
        <f t="shared" si="14"/>
        <v>30</v>
      </c>
      <c r="AE100" s="60">
        <f t="shared" si="14"/>
        <v>8</v>
      </c>
      <c r="AF100" s="60">
        <f t="shared" si="14"/>
        <v>2</v>
      </c>
      <c r="AG100" s="87"/>
      <c r="AH100" s="47">
        <f t="shared" si="8"/>
        <v>40</v>
      </c>
      <c r="AI100" s="48">
        <f t="shared" si="9"/>
        <v>0</v>
      </c>
    </row>
    <row r="101" spans="1:37" x14ac:dyDescent="0.25">
      <c r="A101" s="99" t="s">
        <v>109</v>
      </c>
      <c r="B101" s="100">
        <v>50.091999999999999</v>
      </c>
      <c r="C101" s="100">
        <v>50.055</v>
      </c>
      <c r="D101" s="100">
        <v>50.008000000000003</v>
      </c>
      <c r="E101" s="100">
        <v>50.05</v>
      </c>
      <c r="F101" s="100">
        <v>50.015999999999998</v>
      </c>
      <c r="G101" s="100">
        <v>49.985999999999997</v>
      </c>
      <c r="H101" s="100">
        <v>49.985999999999997</v>
      </c>
      <c r="I101" s="100">
        <v>49.948999999999998</v>
      </c>
      <c r="J101" s="100">
        <v>50.015000000000001</v>
      </c>
      <c r="K101" s="100">
        <v>50.005000000000003</v>
      </c>
      <c r="L101" s="100">
        <v>49.994999999999997</v>
      </c>
      <c r="M101" s="100">
        <v>49.875</v>
      </c>
      <c r="N101" s="100">
        <v>50.033999999999999</v>
      </c>
      <c r="O101" s="100">
        <v>50.070999999999998</v>
      </c>
      <c r="P101" s="100">
        <v>50.061</v>
      </c>
      <c r="Q101" s="100">
        <v>50.057000000000002</v>
      </c>
      <c r="R101" s="100">
        <v>50.064999999999998</v>
      </c>
      <c r="S101" s="100">
        <v>50.033000000000001</v>
      </c>
      <c r="T101" s="100">
        <v>50.07</v>
      </c>
      <c r="U101" s="100">
        <v>49.948</v>
      </c>
      <c r="V101" s="100">
        <v>49.96</v>
      </c>
      <c r="W101" s="100">
        <v>50</v>
      </c>
      <c r="X101" s="100">
        <v>49.984999999999999</v>
      </c>
      <c r="Y101" s="100">
        <v>49.994</v>
      </c>
      <c r="Z101" s="100">
        <v>50.055999999999997</v>
      </c>
      <c r="AA101" s="100">
        <v>50.055999999999997</v>
      </c>
      <c r="AB101" s="100">
        <v>50.06</v>
      </c>
      <c r="AC101" s="100">
        <v>50.06</v>
      </c>
      <c r="AD101" s="100">
        <v>50.07</v>
      </c>
      <c r="AE101" s="100">
        <v>50.02</v>
      </c>
      <c r="AF101" s="100">
        <v>50.05</v>
      </c>
      <c r="AG101" s="101"/>
      <c r="AH101" s="47">
        <f t="shared" si="8"/>
        <v>50.091999999999999</v>
      </c>
      <c r="AI101" s="48">
        <f t="shared" si="9"/>
        <v>49.875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129.6</v>
      </c>
      <c r="C103" s="64">
        <v>130</v>
      </c>
      <c r="D103" s="64">
        <v>129.6</v>
      </c>
      <c r="E103" s="64">
        <v>130.30000000000001</v>
      </c>
      <c r="F103" s="64">
        <v>130.9</v>
      </c>
      <c r="G103" s="64">
        <v>130.9</v>
      </c>
      <c r="H103" s="64">
        <v>130.9</v>
      </c>
      <c r="I103" s="64">
        <v>127.6</v>
      </c>
      <c r="J103" s="64">
        <v>126.3</v>
      </c>
      <c r="K103" s="64">
        <v>126.2</v>
      </c>
      <c r="L103" s="64">
        <v>124.1</v>
      </c>
      <c r="M103" s="64">
        <v>125.4</v>
      </c>
      <c r="N103" s="64">
        <v>124.1</v>
      </c>
      <c r="O103" s="64">
        <v>125.1</v>
      </c>
      <c r="P103" s="64">
        <v>123.5</v>
      </c>
      <c r="Q103" s="64">
        <v>123.7</v>
      </c>
      <c r="R103" s="64">
        <v>126.8</v>
      </c>
      <c r="S103" s="64">
        <v>125.8</v>
      </c>
      <c r="T103" s="64">
        <v>126.4</v>
      </c>
      <c r="U103" s="64">
        <v>126.5</v>
      </c>
      <c r="V103" s="64">
        <v>127.5</v>
      </c>
      <c r="W103" s="64">
        <v>128</v>
      </c>
      <c r="X103" s="64">
        <v>128.19999999999999</v>
      </c>
      <c r="Y103" s="64">
        <v>126.7</v>
      </c>
      <c r="Z103" s="64">
        <v>124.9</v>
      </c>
      <c r="AA103" s="64">
        <v>124.9</v>
      </c>
      <c r="AB103" s="64">
        <v>128.80000000000001</v>
      </c>
      <c r="AC103" s="64">
        <v>128.80000000000001</v>
      </c>
      <c r="AD103" s="64">
        <v>128.80000000000001</v>
      </c>
      <c r="AE103" s="64">
        <v>128.80000000000001</v>
      </c>
      <c r="AF103" s="64">
        <v>128.30000000000001</v>
      </c>
      <c r="AG103" s="103"/>
      <c r="AH103" s="47">
        <f t="shared" si="8"/>
        <v>130.9</v>
      </c>
      <c r="AI103" s="48">
        <f t="shared" si="9"/>
        <v>123.5</v>
      </c>
    </row>
    <row r="104" spans="1:37" x14ac:dyDescent="0.25">
      <c r="A104" s="102" t="s">
        <v>112</v>
      </c>
      <c r="B104" s="64">
        <v>130</v>
      </c>
      <c r="C104" s="64">
        <v>128.69999999999999</v>
      </c>
      <c r="D104" s="64">
        <v>130.9</v>
      </c>
      <c r="E104" s="64">
        <v>131.5</v>
      </c>
      <c r="F104" s="64">
        <v>131.80000000000001</v>
      </c>
      <c r="G104" s="64">
        <v>131.80000000000001</v>
      </c>
      <c r="H104" s="64">
        <v>131.80000000000001</v>
      </c>
      <c r="I104" s="64">
        <v>131.19999999999999</v>
      </c>
      <c r="J104" s="64">
        <v>128</v>
      </c>
      <c r="K104" s="64">
        <v>129.69999999999999</v>
      </c>
      <c r="L104" s="64">
        <v>128.6</v>
      </c>
      <c r="M104" s="64">
        <v>127.7</v>
      </c>
      <c r="N104" s="64">
        <v>127.7</v>
      </c>
      <c r="O104" s="64">
        <v>129.30000000000001</v>
      </c>
      <c r="P104" s="64">
        <v>127.9</v>
      </c>
      <c r="Q104" s="64">
        <v>129</v>
      </c>
      <c r="R104" s="64">
        <v>125</v>
      </c>
      <c r="S104" s="64">
        <v>124.7</v>
      </c>
      <c r="T104" s="64">
        <v>130</v>
      </c>
      <c r="U104" s="64">
        <v>126.2</v>
      </c>
      <c r="V104" s="64">
        <v>128.4</v>
      </c>
      <c r="W104" s="64">
        <v>128</v>
      </c>
      <c r="X104" s="64">
        <v>128.6</v>
      </c>
      <c r="Y104" s="64">
        <v>125.5</v>
      </c>
      <c r="Z104" s="64">
        <v>127.3</v>
      </c>
      <c r="AA104" s="64">
        <v>127.3</v>
      </c>
      <c r="AB104" s="64">
        <v>125.8</v>
      </c>
      <c r="AC104" s="64">
        <v>125.8</v>
      </c>
      <c r="AD104" s="64">
        <v>125.8</v>
      </c>
      <c r="AE104" s="64">
        <v>125.8</v>
      </c>
      <c r="AF104" s="64">
        <v>130.5</v>
      </c>
      <c r="AG104" s="103"/>
      <c r="AH104" s="47">
        <f t="shared" si="8"/>
        <v>131.80000000000001</v>
      </c>
      <c r="AI104" s="48">
        <f t="shared" si="9"/>
        <v>124.7</v>
      </c>
    </row>
    <row r="105" spans="1:37" x14ac:dyDescent="0.25">
      <c r="A105" s="104" t="s">
        <v>113</v>
      </c>
      <c r="B105" s="64">
        <v>133.30000000000001</v>
      </c>
      <c r="C105" s="64">
        <v>131.80000000000001</v>
      </c>
      <c r="D105" s="64">
        <v>133.4</v>
      </c>
      <c r="E105" s="64">
        <v>132</v>
      </c>
      <c r="F105" s="64">
        <v>133.80000000000001</v>
      </c>
      <c r="G105" s="64">
        <v>133.80000000000001</v>
      </c>
      <c r="H105" s="64">
        <v>133.80000000000001</v>
      </c>
      <c r="I105" s="64">
        <v>133.1</v>
      </c>
      <c r="J105" s="64">
        <v>129.9</v>
      </c>
      <c r="K105" s="64">
        <v>131.19999999999999</v>
      </c>
      <c r="L105" s="64">
        <v>128.9</v>
      </c>
      <c r="M105" s="64">
        <v>127.8</v>
      </c>
      <c r="N105" s="64">
        <v>128.69999999999999</v>
      </c>
      <c r="O105" s="64">
        <v>130.6</v>
      </c>
      <c r="P105" s="64">
        <v>128.5</v>
      </c>
      <c r="Q105" s="64">
        <v>130.4</v>
      </c>
      <c r="R105" s="64">
        <v>126.5</v>
      </c>
      <c r="S105" s="64">
        <v>125</v>
      </c>
      <c r="T105" s="64">
        <v>130</v>
      </c>
      <c r="U105" s="64">
        <v>128.19999999999999</v>
      </c>
      <c r="V105" s="64">
        <v>130.19999999999999</v>
      </c>
      <c r="W105" s="64">
        <v>129</v>
      </c>
      <c r="X105" s="64">
        <v>130.69999999999999</v>
      </c>
      <c r="Y105" s="64">
        <v>126.6</v>
      </c>
      <c r="Z105" s="64">
        <v>127.6</v>
      </c>
      <c r="AA105" s="64">
        <v>127.6</v>
      </c>
      <c r="AB105" s="64">
        <v>128.69999999999999</v>
      </c>
      <c r="AC105" s="64">
        <v>128.69999999999999</v>
      </c>
      <c r="AD105" s="64">
        <v>128.69999999999999</v>
      </c>
      <c r="AE105" s="64">
        <v>128.69999999999999</v>
      </c>
      <c r="AF105" s="64">
        <v>132.30000000000001</v>
      </c>
      <c r="AG105" s="103"/>
      <c r="AH105" s="47">
        <f t="shared" si="8"/>
        <v>133.80000000000001</v>
      </c>
      <c r="AI105" s="48">
        <f t="shared" si="9"/>
        <v>125</v>
      </c>
    </row>
    <row r="106" spans="1:37" x14ac:dyDescent="0.25">
      <c r="A106" s="104" t="s">
        <v>114</v>
      </c>
      <c r="B106" s="105">
        <v>130.6</v>
      </c>
      <c r="C106" s="105">
        <v>130.5</v>
      </c>
      <c r="D106" s="105">
        <v>130.6</v>
      </c>
      <c r="E106" s="105">
        <v>131.6</v>
      </c>
      <c r="F106" s="105">
        <v>133.1</v>
      </c>
      <c r="G106" s="105">
        <v>133.1</v>
      </c>
      <c r="H106" s="105">
        <v>133.1</v>
      </c>
      <c r="I106" s="105">
        <v>132.19999999999999</v>
      </c>
      <c r="J106" s="105">
        <v>130.9</v>
      </c>
      <c r="K106" s="105">
        <v>130.6</v>
      </c>
      <c r="L106" s="105">
        <v>129.6</v>
      </c>
      <c r="M106" s="105">
        <v>131.9</v>
      </c>
      <c r="N106" s="105">
        <v>129.4</v>
      </c>
      <c r="O106" s="105">
        <v>131.69999999999999</v>
      </c>
      <c r="P106" s="105">
        <v>131.30000000000001</v>
      </c>
      <c r="Q106" s="105">
        <v>130.9</v>
      </c>
      <c r="R106" s="105">
        <v>132.6</v>
      </c>
      <c r="S106" s="105">
        <v>131.5</v>
      </c>
      <c r="T106" s="105">
        <v>133</v>
      </c>
      <c r="U106" s="105">
        <v>131.5</v>
      </c>
      <c r="V106" s="105">
        <v>130.9</v>
      </c>
      <c r="W106" s="105">
        <v>132</v>
      </c>
      <c r="X106" s="105">
        <v>131.19999999999999</v>
      </c>
      <c r="Y106" s="105">
        <v>131.80000000000001</v>
      </c>
      <c r="Z106" s="105">
        <v>131.69999999999999</v>
      </c>
      <c r="AA106" s="105">
        <v>131.69999999999999</v>
      </c>
      <c r="AB106" s="105">
        <v>133</v>
      </c>
      <c r="AC106" s="105">
        <v>133</v>
      </c>
      <c r="AD106" s="105">
        <v>133</v>
      </c>
      <c r="AE106" s="105">
        <v>133</v>
      </c>
      <c r="AF106" s="105">
        <v>131.6</v>
      </c>
      <c r="AG106" s="106"/>
      <c r="AH106" s="47">
        <f t="shared" si="8"/>
        <v>133.1</v>
      </c>
      <c r="AI106" s="48">
        <f t="shared" si="9"/>
        <v>129.4</v>
      </c>
    </row>
    <row r="107" spans="1:37" x14ac:dyDescent="0.25">
      <c r="A107" s="102" t="s">
        <v>115</v>
      </c>
      <c r="B107" s="64">
        <v>128.80000000000001</v>
      </c>
      <c r="C107" s="64">
        <v>132.30000000000001</v>
      </c>
      <c r="D107" s="64">
        <v>130</v>
      </c>
      <c r="E107" s="64">
        <v>130.9</v>
      </c>
      <c r="F107" s="64">
        <v>133.19999999999999</v>
      </c>
      <c r="G107" s="64">
        <v>133.19999999999999</v>
      </c>
      <c r="H107" s="64">
        <v>133.19999999999999</v>
      </c>
      <c r="I107" s="64">
        <v>134.5</v>
      </c>
      <c r="J107" s="64">
        <v>132.4</v>
      </c>
      <c r="K107" s="64">
        <v>137.9</v>
      </c>
      <c r="L107" s="64">
        <v>133.6</v>
      </c>
      <c r="M107" s="64">
        <v>126.6</v>
      </c>
      <c r="N107" s="64">
        <v>130.19999999999999</v>
      </c>
      <c r="O107" s="64">
        <v>132.9</v>
      </c>
      <c r="P107" s="64">
        <v>127.6</v>
      </c>
      <c r="Q107" s="64">
        <v>133</v>
      </c>
      <c r="R107" s="64">
        <v>136.5</v>
      </c>
      <c r="S107" s="64">
        <v>130.1</v>
      </c>
      <c r="T107" s="64">
        <v>128.1</v>
      </c>
      <c r="U107" s="64">
        <v>131.69999999999999</v>
      </c>
      <c r="V107" s="64">
        <v>135.5</v>
      </c>
      <c r="W107" s="64">
        <v>129</v>
      </c>
      <c r="X107" s="64">
        <v>131.80000000000001</v>
      </c>
      <c r="Y107" s="64">
        <v>131.69999999999999</v>
      </c>
      <c r="Z107" s="64">
        <v>129.69999999999999</v>
      </c>
      <c r="AA107" s="64">
        <v>129.69999999999999</v>
      </c>
      <c r="AB107" s="64">
        <v>129.6</v>
      </c>
      <c r="AC107" s="64">
        <v>129.6</v>
      </c>
      <c r="AD107" s="64">
        <v>129.6</v>
      </c>
      <c r="AE107" s="64">
        <v>129.6</v>
      </c>
      <c r="AF107" s="64">
        <v>131</v>
      </c>
      <c r="AG107" s="103"/>
      <c r="AH107" s="47">
        <f t="shared" si="8"/>
        <v>137.9</v>
      </c>
      <c r="AI107" s="48">
        <f t="shared" si="9"/>
        <v>126.6</v>
      </c>
    </row>
    <row r="108" spans="1:37" ht="15.75" thickBot="1" x14ac:dyDescent="0.3">
      <c r="A108" s="102" t="s">
        <v>116</v>
      </c>
      <c r="B108" s="91">
        <v>65.3</v>
      </c>
      <c r="C108" s="91">
        <v>65.5</v>
      </c>
      <c r="D108" s="91">
        <v>65.400000000000006</v>
      </c>
      <c r="E108" s="91">
        <v>65.900000000000006</v>
      </c>
      <c r="F108" s="91">
        <v>66.099999999999994</v>
      </c>
      <c r="G108" s="91">
        <v>66.099999999999994</v>
      </c>
      <c r="H108" s="91">
        <v>66.099999999999994</v>
      </c>
      <c r="I108" s="91">
        <v>64.400000000000006</v>
      </c>
      <c r="J108" s="91">
        <v>63.9</v>
      </c>
      <c r="K108" s="91">
        <v>64</v>
      </c>
      <c r="L108" s="91">
        <v>62.8</v>
      </c>
      <c r="M108" s="91">
        <v>63.1</v>
      </c>
      <c r="N108" s="91">
        <v>62.9</v>
      </c>
      <c r="O108" s="91">
        <v>62.5</v>
      </c>
      <c r="P108" s="91">
        <v>61.7</v>
      </c>
      <c r="Q108" s="91">
        <v>62.2</v>
      </c>
      <c r="R108" s="91">
        <v>63.3</v>
      </c>
      <c r="S108" s="91">
        <v>62.7</v>
      </c>
      <c r="T108" s="91">
        <v>63.1</v>
      </c>
      <c r="U108" s="91">
        <v>63.3</v>
      </c>
      <c r="V108" s="91">
        <v>64</v>
      </c>
      <c r="W108" s="91">
        <v>64.2</v>
      </c>
      <c r="X108" s="91">
        <v>64.599999999999994</v>
      </c>
      <c r="Y108" s="91">
        <v>63.4</v>
      </c>
      <c r="Z108" s="91">
        <v>62.8</v>
      </c>
      <c r="AA108" s="91">
        <v>62.8</v>
      </c>
      <c r="AB108" s="91">
        <v>64.900000000000006</v>
      </c>
      <c r="AC108" s="91">
        <v>64.900000000000006</v>
      </c>
      <c r="AD108" s="91">
        <v>64.900000000000006</v>
      </c>
      <c r="AE108" s="91">
        <v>64.900000000000006</v>
      </c>
      <c r="AF108" s="91">
        <v>64.400000000000006</v>
      </c>
      <c r="AG108" s="107"/>
      <c r="AH108" s="47">
        <f t="shared" si="8"/>
        <v>66.099999999999994</v>
      </c>
      <c r="AI108" s="48">
        <f t="shared" si="9"/>
        <v>61.7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5">SUM(B20,B26,B29:B30,B58,B60:B61,B63,B65,B111:B115,B138,B144,B150,B159,B161,B173,B180,B183:B184,B191,B193,B195,B199:B201,B203:B205,B210,B216:B217,B219:B221,B229,B234)</f>
        <v>70.400000000000006</v>
      </c>
      <c r="C110" s="110">
        <f t="shared" si="15"/>
        <v>64.64</v>
      </c>
      <c r="D110" s="110">
        <f t="shared" si="15"/>
        <v>54.54</v>
      </c>
      <c r="E110" s="110">
        <f t="shared" si="15"/>
        <v>52.539999999999971</v>
      </c>
      <c r="F110" s="110">
        <f t="shared" si="15"/>
        <v>51.140000000000015</v>
      </c>
      <c r="G110" s="110">
        <f t="shared" si="15"/>
        <v>62.44</v>
      </c>
      <c r="H110" s="110">
        <f t="shared" si="15"/>
        <v>91.84</v>
      </c>
      <c r="I110" s="110">
        <f t="shared" si="15"/>
        <v>135.98999999999998</v>
      </c>
      <c r="J110" s="110">
        <f t="shared" si="15"/>
        <v>124.03999999999999</v>
      </c>
      <c r="K110" s="110">
        <f t="shared" si="15"/>
        <v>191.34</v>
      </c>
      <c r="L110" s="110">
        <f t="shared" si="15"/>
        <v>205.04</v>
      </c>
      <c r="M110" s="110">
        <f t="shared" si="15"/>
        <v>218.84000000000003</v>
      </c>
      <c r="N110" s="110">
        <f t="shared" si="15"/>
        <v>211.74</v>
      </c>
      <c r="O110" s="110">
        <f t="shared" si="15"/>
        <v>261.94</v>
      </c>
      <c r="P110" s="110">
        <v>42</v>
      </c>
      <c r="Q110" s="110">
        <f t="shared" ref="Q110:AF110" si="16">SUM(Q20,Q26,Q29:Q30,Q58,Q60:Q61,Q63,Q65,Q111:Q115,Q138,Q144,Q150,Q159,Q161,Q173,Q180,Q183:Q184,Q191,Q193,Q195,Q199:Q201,Q203:Q205,Q210,Q216:Q217,Q219:Q221,Q229,Q234)</f>
        <v>242.9</v>
      </c>
      <c r="R110" s="110">
        <f>SUM(R20,R26,R29:R30,R58,R60:R61,R63,R65,R111:R115,R138,R144,R150,R159,R161,R173,R180,R183:R184,R191,R193,R195,R199:R201,R203:R205,R210,R216:R217,R219:R221,R229,R234)</f>
        <v>225.60000000000002</v>
      </c>
      <c r="S110" s="110">
        <f t="shared" si="16"/>
        <v>235.2</v>
      </c>
      <c r="T110" s="110">
        <f t="shared" si="16"/>
        <v>233.40000000000003</v>
      </c>
      <c r="U110" s="110">
        <f t="shared" si="16"/>
        <v>240.19999999999996</v>
      </c>
      <c r="V110" s="110">
        <f t="shared" si="16"/>
        <v>229</v>
      </c>
      <c r="W110" s="110">
        <f t="shared" si="16"/>
        <v>240.60000000000002</v>
      </c>
      <c r="X110" s="110">
        <f t="shared" si="16"/>
        <v>220.3</v>
      </c>
      <c r="Y110" s="110">
        <f t="shared" si="16"/>
        <v>248.3</v>
      </c>
      <c r="Z110" s="110">
        <f t="shared" si="16"/>
        <v>304.8</v>
      </c>
      <c r="AA110" s="110">
        <f t="shared" si="16"/>
        <v>164.4</v>
      </c>
      <c r="AB110" s="110">
        <f t="shared" si="16"/>
        <v>268.39999999999998</v>
      </c>
      <c r="AC110" s="110">
        <f t="shared" si="16"/>
        <v>240.39999999999998</v>
      </c>
      <c r="AD110" s="110"/>
      <c r="AE110" s="110">
        <f t="shared" si="16"/>
        <v>169.39999999999998</v>
      </c>
      <c r="AF110" s="110">
        <f t="shared" si="16"/>
        <v>117.39999999999998</v>
      </c>
      <c r="AG110" s="111"/>
      <c r="AH110" s="47">
        <f t="shared" si="8"/>
        <v>304.8</v>
      </c>
      <c r="AI110" s="48">
        <f t="shared" si="9"/>
        <v>42</v>
      </c>
    </row>
    <row r="111" spans="1:37" x14ac:dyDescent="0.25">
      <c r="A111" s="99" t="s">
        <v>119</v>
      </c>
      <c r="B111" s="112">
        <v>20.5</v>
      </c>
      <c r="C111" s="112">
        <v>18.100000000000001</v>
      </c>
      <c r="D111" s="112">
        <v>19.899999999999999</v>
      </c>
      <c r="E111" s="112">
        <v>18</v>
      </c>
      <c r="F111" s="112">
        <v>15.4</v>
      </c>
      <c r="G111" s="112">
        <v>25.8</v>
      </c>
      <c r="H111" s="112">
        <v>31</v>
      </c>
      <c r="I111" s="112">
        <v>40.5</v>
      </c>
      <c r="J111" s="112">
        <v>43</v>
      </c>
      <c r="K111" s="112">
        <v>49.6</v>
      </c>
      <c r="L111" s="112">
        <v>54.6</v>
      </c>
      <c r="M111" s="112">
        <v>49.6</v>
      </c>
      <c r="N111" s="112">
        <v>50.1</v>
      </c>
      <c r="O111" s="112">
        <v>45.5</v>
      </c>
      <c r="P111" s="112">
        <v>64.599999999999994</v>
      </c>
      <c r="Q111" s="112">
        <v>71.7</v>
      </c>
      <c r="R111" s="112">
        <v>42.5</v>
      </c>
      <c r="S111" s="112">
        <v>42.7</v>
      </c>
      <c r="T111" s="112">
        <v>47.8</v>
      </c>
      <c r="U111" s="112">
        <v>42.9</v>
      </c>
      <c r="V111" s="112">
        <v>42.6</v>
      </c>
      <c r="W111" s="112">
        <v>44</v>
      </c>
      <c r="X111" s="112">
        <v>44.1</v>
      </c>
      <c r="Y111" s="112">
        <v>51.2</v>
      </c>
      <c r="Z111" s="112">
        <v>73.2</v>
      </c>
      <c r="AA111" s="112"/>
      <c r="AB111" s="112">
        <v>95</v>
      </c>
      <c r="AC111" s="112">
        <v>92</v>
      </c>
      <c r="AD111" s="112">
        <v>90</v>
      </c>
      <c r="AE111" s="112">
        <v>70</v>
      </c>
      <c r="AF111" s="112">
        <v>70</v>
      </c>
      <c r="AG111" s="113">
        <v>75</v>
      </c>
      <c r="AH111" s="47">
        <f t="shared" si="8"/>
        <v>95</v>
      </c>
      <c r="AI111" s="48">
        <f t="shared" si="9"/>
        <v>15.4</v>
      </c>
    </row>
    <row r="112" spans="1:37" x14ac:dyDescent="0.25">
      <c r="A112" s="102" t="s">
        <v>120</v>
      </c>
      <c r="B112" s="114">
        <v>33.700000000000003</v>
      </c>
      <c r="C112" s="114">
        <v>31.4</v>
      </c>
      <c r="D112" s="114">
        <v>33.6</v>
      </c>
      <c r="E112" s="114">
        <v>29.6</v>
      </c>
      <c r="F112" s="114">
        <v>27.3</v>
      </c>
      <c r="G112" s="114">
        <v>38.9</v>
      </c>
      <c r="H112" s="114">
        <v>47.4</v>
      </c>
      <c r="I112" s="114">
        <v>59.2</v>
      </c>
      <c r="J112" s="114">
        <v>61.6</v>
      </c>
      <c r="K112" s="114">
        <v>72</v>
      </c>
      <c r="L112" s="114">
        <v>76</v>
      </c>
      <c r="M112" s="114">
        <v>65.2</v>
      </c>
      <c r="N112" s="114">
        <v>66.400000000000006</v>
      </c>
      <c r="O112" s="114">
        <v>58.5</v>
      </c>
      <c r="P112" s="114">
        <v>85.4</v>
      </c>
      <c r="Q112" s="114">
        <v>95.8</v>
      </c>
      <c r="R112" s="114">
        <v>46</v>
      </c>
      <c r="S112" s="114">
        <v>56.7</v>
      </c>
      <c r="T112" s="114">
        <v>64.900000000000006</v>
      </c>
      <c r="U112" s="114">
        <v>55.8</v>
      </c>
      <c r="V112" s="114">
        <v>54</v>
      </c>
      <c r="W112" s="114">
        <v>57</v>
      </c>
      <c r="X112" s="114">
        <v>64.7</v>
      </c>
      <c r="Y112" s="114">
        <v>73.7</v>
      </c>
      <c r="Z112" s="114">
        <v>106</v>
      </c>
      <c r="AA112" s="114"/>
      <c r="AB112" s="114">
        <v>64</v>
      </c>
      <c r="AC112" s="114">
        <v>64</v>
      </c>
      <c r="AD112" s="114">
        <v>63</v>
      </c>
      <c r="AE112" s="114">
        <v>49</v>
      </c>
      <c r="AF112" s="114">
        <v>45</v>
      </c>
      <c r="AG112" s="113">
        <v>240</v>
      </c>
      <c r="AH112" s="47">
        <f t="shared" si="8"/>
        <v>106</v>
      </c>
      <c r="AI112" s="48">
        <f t="shared" si="9"/>
        <v>27.3</v>
      </c>
    </row>
    <row r="113" spans="1:37" x14ac:dyDescent="0.25">
      <c r="A113" s="102" t="s">
        <v>121</v>
      </c>
      <c r="B113" s="114">
        <v>-112</v>
      </c>
      <c r="C113" s="114">
        <v>-122</v>
      </c>
      <c r="D113" s="114">
        <v>-140</v>
      </c>
      <c r="E113" s="114">
        <v>-137.80000000000001</v>
      </c>
      <c r="F113" s="114">
        <v>-129.6</v>
      </c>
      <c r="G113" s="114">
        <v>-132.5</v>
      </c>
      <c r="H113" s="114">
        <v>-80.2</v>
      </c>
      <c r="I113" s="114">
        <v>-60.85</v>
      </c>
      <c r="J113" s="114">
        <v>-44.5</v>
      </c>
      <c r="K113" s="114">
        <v>-35</v>
      </c>
      <c r="L113" s="114">
        <v>-32.5</v>
      </c>
      <c r="M113" s="114">
        <v>-14.1</v>
      </c>
      <c r="N113" s="114">
        <v>-28.6</v>
      </c>
      <c r="O113" s="114">
        <v>-26</v>
      </c>
      <c r="P113" s="114">
        <v>-105</v>
      </c>
      <c r="Q113" s="114">
        <v>-112</v>
      </c>
      <c r="R113" s="114">
        <f>-25.7-27.4</f>
        <v>-53.099999999999994</v>
      </c>
      <c r="S113" s="114">
        <v>-53</v>
      </c>
      <c r="T113" s="114">
        <v>-50</v>
      </c>
      <c r="U113" s="114">
        <f>-24.3-26.7</f>
        <v>-51</v>
      </c>
      <c r="V113" s="114">
        <v>-53</v>
      </c>
      <c r="W113" s="114">
        <v>-46</v>
      </c>
      <c r="X113" s="114">
        <f>-43.6-47.2</f>
        <v>-90.800000000000011</v>
      </c>
      <c r="Y113" s="114">
        <v>-82</v>
      </c>
      <c r="Z113" s="114">
        <v>-140</v>
      </c>
      <c r="AA113" s="114"/>
      <c r="AB113" s="114">
        <v>-150</v>
      </c>
      <c r="AC113" s="114">
        <v>-160</v>
      </c>
      <c r="AD113" s="114">
        <v>-165</v>
      </c>
      <c r="AE113" s="114">
        <v>-167</v>
      </c>
      <c r="AF113" s="114">
        <v>-170</v>
      </c>
      <c r="AG113" s="113">
        <v>240</v>
      </c>
      <c r="AH113" s="47">
        <f t="shared" si="8"/>
        <v>-14.1</v>
      </c>
      <c r="AI113" s="48">
        <f t="shared" si="9"/>
        <v>-170</v>
      </c>
    </row>
    <row r="114" spans="1:37" x14ac:dyDescent="0.25">
      <c r="A114" s="102" t="s">
        <v>122</v>
      </c>
      <c r="B114" s="114">
        <v>-8.6</v>
      </c>
      <c r="C114" s="114">
        <v>-13.6</v>
      </c>
      <c r="D114" s="114">
        <v>-11.2</v>
      </c>
      <c r="E114" s="114">
        <v>-10.5</v>
      </c>
      <c r="F114" s="114">
        <v>-12.5</v>
      </c>
      <c r="G114" s="114">
        <v>-8.5</v>
      </c>
      <c r="H114" s="114">
        <v>-2.2000000000000002</v>
      </c>
      <c r="I114" s="114">
        <v>2</v>
      </c>
      <c r="J114" s="114">
        <v>6.2</v>
      </c>
      <c r="K114" s="114">
        <v>10</v>
      </c>
      <c r="L114" s="114">
        <v>10.6</v>
      </c>
      <c r="M114" s="114">
        <v>13.5</v>
      </c>
      <c r="N114" s="114">
        <v>11.9</v>
      </c>
      <c r="O114" s="114">
        <v>12.1</v>
      </c>
      <c r="P114" s="114">
        <v>6.2</v>
      </c>
      <c r="Q114" s="114">
        <v>3.9</v>
      </c>
      <c r="R114" s="114">
        <v>9.4</v>
      </c>
      <c r="S114" s="114">
        <v>9</v>
      </c>
      <c r="T114" s="114">
        <v>10.1</v>
      </c>
      <c r="U114" s="114">
        <v>12.1</v>
      </c>
      <c r="V114" s="114">
        <v>11</v>
      </c>
      <c r="W114" s="114">
        <v>13</v>
      </c>
      <c r="X114" s="114">
        <v>8.1</v>
      </c>
      <c r="Y114" s="114">
        <v>9.1999999999999993</v>
      </c>
      <c r="Z114" s="114">
        <v>24.1</v>
      </c>
      <c r="AA114" s="114"/>
      <c r="AB114" s="114">
        <v>21</v>
      </c>
      <c r="AC114" s="114">
        <v>10</v>
      </c>
      <c r="AD114" s="114">
        <v>-7</v>
      </c>
      <c r="AE114" s="114">
        <v>-13</v>
      </c>
      <c r="AF114" s="114">
        <v>-15</v>
      </c>
      <c r="AG114" s="113">
        <v>60</v>
      </c>
      <c r="AH114" s="47">
        <f t="shared" si="8"/>
        <v>24.1</v>
      </c>
      <c r="AI114" s="48">
        <f t="shared" si="9"/>
        <v>-15</v>
      </c>
    </row>
    <row r="115" spans="1:37" x14ac:dyDescent="0.25">
      <c r="A115" s="115" t="s">
        <v>123</v>
      </c>
      <c r="B115" s="116">
        <v>25.5</v>
      </c>
      <c r="C115" s="116">
        <v>26.3</v>
      </c>
      <c r="D115" s="116">
        <v>27.8</v>
      </c>
      <c r="E115" s="116">
        <v>28.1</v>
      </c>
      <c r="F115" s="116">
        <v>25</v>
      </c>
      <c r="G115" s="116">
        <v>24.5</v>
      </c>
      <c r="H115" s="116">
        <v>23.9</v>
      </c>
      <c r="I115" s="116">
        <v>23.2</v>
      </c>
      <c r="J115" s="116">
        <v>22.8</v>
      </c>
      <c r="K115" s="116">
        <v>21</v>
      </c>
      <c r="L115" s="116">
        <v>22.6</v>
      </c>
      <c r="M115" s="116">
        <v>24.4</v>
      </c>
      <c r="N115" s="116">
        <v>24.7</v>
      </c>
      <c r="O115" s="116">
        <v>26.2</v>
      </c>
      <c r="P115" s="116">
        <v>25.3</v>
      </c>
      <c r="Q115" s="116">
        <v>25</v>
      </c>
      <c r="R115" s="116">
        <v>25</v>
      </c>
      <c r="S115" s="116">
        <v>24</v>
      </c>
      <c r="T115" s="116">
        <v>2.1</v>
      </c>
      <c r="U115" s="116">
        <v>31.7</v>
      </c>
      <c r="V115" s="116">
        <v>32</v>
      </c>
      <c r="W115" s="116">
        <v>31.3</v>
      </c>
      <c r="X115" s="116">
        <v>43.4</v>
      </c>
      <c r="Y115" s="116">
        <v>46.8</v>
      </c>
      <c r="Z115" s="116">
        <v>77.099999999999994</v>
      </c>
      <c r="AA115" s="116"/>
      <c r="AB115" s="116">
        <v>74</v>
      </c>
      <c r="AC115" s="116">
        <v>70</v>
      </c>
      <c r="AD115" s="116">
        <v>66</v>
      </c>
      <c r="AE115" s="116">
        <v>66</v>
      </c>
      <c r="AF115" s="116">
        <v>23</v>
      </c>
      <c r="AG115" s="117">
        <v>120</v>
      </c>
      <c r="AH115" s="47">
        <f t="shared" si="8"/>
        <v>77.099999999999994</v>
      </c>
      <c r="AI115" s="48">
        <f t="shared" si="9"/>
        <v>2.1</v>
      </c>
    </row>
    <row r="116" spans="1:37" x14ac:dyDescent="0.25">
      <c r="A116" s="115" t="s">
        <v>124</v>
      </c>
      <c r="B116" s="116">
        <v>56.8</v>
      </c>
      <c r="C116" s="116">
        <v>50.3</v>
      </c>
      <c r="D116" s="116">
        <v>43.2</v>
      </c>
      <c r="E116" s="116">
        <v>33.200000000000003</v>
      </c>
      <c r="F116" s="116">
        <v>30.7</v>
      </c>
      <c r="G116" s="116">
        <v>18.399999999999999</v>
      </c>
      <c r="H116" s="116">
        <v>36.119999999999997</v>
      </c>
      <c r="I116" s="116">
        <v>41.6</v>
      </c>
      <c r="J116" s="116">
        <v>49</v>
      </c>
      <c r="K116" s="116">
        <v>40</v>
      </c>
      <c r="L116" s="116">
        <v>61.2</v>
      </c>
      <c r="M116" s="116">
        <v>77.2</v>
      </c>
      <c r="N116" s="116">
        <v>62.6</v>
      </c>
      <c r="O116" s="116">
        <v>69.3</v>
      </c>
      <c r="P116" s="116">
        <v>82.1</v>
      </c>
      <c r="Q116" s="116">
        <v>83.5</v>
      </c>
      <c r="R116" s="116">
        <v>82.9</v>
      </c>
      <c r="S116" s="116">
        <v>81</v>
      </c>
      <c r="T116" s="116">
        <v>85</v>
      </c>
      <c r="U116" s="116">
        <v>80.2</v>
      </c>
      <c r="V116" s="116">
        <v>54</v>
      </c>
      <c r="W116" s="116">
        <v>60</v>
      </c>
      <c r="X116" s="116">
        <v>21.3</v>
      </c>
      <c r="Y116" s="116">
        <v>25</v>
      </c>
      <c r="Z116" s="116">
        <v>41</v>
      </c>
      <c r="AA116" s="116"/>
      <c r="AB116" s="116">
        <v>41</v>
      </c>
      <c r="AC116" s="116">
        <v>40</v>
      </c>
      <c r="AD116" s="116">
        <v>40</v>
      </c>
      <c r="AE116" s="116">
        <v>41</v>
      </c>
      <c r="AF116" s="116">
        <v>47</v>
      </c>
      <c r="AG116" s="117"/>
      <c r="AH116" s="47">
        <f t="shared" si="8"/>
        <v>85</v>
      </c>
      <c r="AI116" s="48">
        <f t="shared" si="9"/>
        <v>18.399999999999999</v>
      </c>
    </row>
    <row r="117" spans="1:37" x14ac:dyDescent="0.25">
      <c r="A117" s="115" t="s">
        <v>125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>
        <v>-15.4</v>
      </c>
      <c r="T117" s="116">
        <v>-21.7</v>
      </c>
      <c r="U117" s="116">
        <v>-22.2</v>
      </c>
      <c r="V117" s="116"/>
      <c r="W117" s="116"/>
      <c r="X117" s="116">
        <v>-17.600000000000001</v>
      </c>
      <c r="Y117" s="116"/>
      <c r="Z117" s="116">
        <v>2.4</v>
      </c>
      <c r="AA117" s="116"/>
      <c r="AB117" s="116">
        <v>0</v>
      </c>
      <c r="AC117" s="116">
        <v>0</v>
      </c>
      <c r="AD117" s="116">
        <v>2</v>
      </c>
      <c r="AE117" s="116">
        <v>5</v>
      </c>
      <c r="AF117" s="116">
        <v>7</v>
      </c>
      <c r="AG117" s="118"/>
      <c r="AH117" s="47">
        <f t="shared" si="8"/>
        <v>7</v>
      </c>
      <c r="AI117" s="48">
        <f t="shared" si="9"/>
        <v>-22.2</v>
      </c>
    </row>
    <row r="118" spans="1:37" x14ac:dyDescent="0.25">
      <c r="A118" s="119" t="s">
        <v>126</v>
      </c>
      <c r="B118" s="105">
        <v>25.1</v>
      </c>
      <c r="C118" s="105">
        <v>28.9</v>
      </c>
      <c r="D118" s="105">
        <v>30.4</v>
      </c>
      <c r="E118" s="105">
        <v>25.5</v>
      </c>
      <c r="F118" s="105">
        <v>25.2</v>
      </c>
      <c r="G118" s="105">
        <v>25.6</v>
      </c>
      <c r="H118" s="105">
        <v>28.9</v>
      </c>
      <c r="I118" s="105">
        <v>38.700000000000003</v>
      </c>
      <c r="J118" s="105">
        <v>37.4</v>
      </c>
      <c r="K118" s="105">
        <v>20</v>
      </c>
      <c r="L118" s="105">
        <v>20.5</v>
      </c>
      <c r="M118" s="105">
        <v>7.3</v>
      </c>
      <c r="N118" s="105">
        <v>22.9</v>
      </c>
      <c r="O118" s="105">
        <v>19.399999999999999</v>
      </c>
      <c r="P118" s="105">
        <v>14.6</v>
      </c>
      <c r="Q118" s="105">
        <v>15.1</v>
      </c>
      <c r="R118" s="105">
        <v>1.2</v>
      </c>
      <c r="S118" s="105">
        <v>-13</v>
      </c>
      <c r="T118" s="105">
        <v>-24</v>
      </c>
      <c r="U118" s="105">
        <v>-4.2</v>
      </c>
      <c r="V118" s="105">
        <v>14</v>
      </c>
      <c r="W118" s="105">
        <v>4</v>
      </c>
      <c r="X118" s="105">
        <v>14.8</v>
      </c>
      <c r="Y118" s="105">
        <v>-3</v>
      </c>
      <c r="Z118" s="105">
        <v>-10</v>
      </c>
      <c r="AA118" s="105"/>
      <c r="AB118" s="105">
        <v>3</v>
      </c>
      <c r="AC118" s="105">
        <v>5</v>
      </c>
      <c r="AD118" s="105">
        <v>5.5</v>
      </c>
      <c r="AE118" s="105">
        <v>0</v>
      </c>
      <c r="AF118" s="105">
        <v>2</v>
      </c>
      <c r="AG118" s="118"/>
      <c r="AH118" s="47">
        <f t="shared" si="8"/>
        <v>38.700000000000003</v>
      </c>
      <c r="AI118" s="48">
        <f t="shared" si="9"/>
        <v>-24</v>
      </c>
    </row>
    <row r="119" spans="1:37" x14ac:dyDescent="0.25">
      <c r="A119" s="120" t="s">
        <v>127</v>
      </c>
      <c r="B119" s="105">
        <v>77.2</v>
      </c>
      <c r="C119" s="105">
        <v>80.599999999999994</v>
      </c>
      <c r="D119" s="105">
        <v>93</v>
      </c>
      <c r="E119" s="105">
        <v>93</v>
      </c>
      <c r="F119" s="105">
        <v>81.599999999999994</v>
      </c>
      <c r="G119" s="105">
        <v>95</v>
      </c>
      <c r="H119" s="105">
        <v>68.5</v>
      </c>
      <c r="I119" s="105">
        <v>58.7</v>
      </c>
      <c r="J119" s="105">
        <v>52.1</v>
      </c>
      <c r="K119" s="105">
        <v>52</v>
      </c>
      <c r="L119" s="105">
        <v>42.6</v>
      </c>
      <c r="M119" s="105">
        <v>29.8</v>
      </c>
      <c r="N119" s="105">
        <v>70.7</v>
      </c>
      <c r="O119" s="105">
        <v>84.1</v>
      </c>
      <c r="P119" s="105">
        <v>76.400000000000006</v>
      </c>
      <c r="Q119" s="105">
        <v>79.8</v>
      </c>
      <c r="R119" s="105">
        <v>88.9</v>
      </c>
      <c r="S119" s="105">
        <v>85</v>
      </c>
      <c r="T119" s="105">
        <v>86</v>
      </c>
      <c r="U119" s="105">
        <v>79.900000000000006</v>
      </c>
      <c r="V119" s="105">
        <v>79</v>
      </c>
      <c r="W119" s="105">
        <v>81</v>
      </c>
      <c r="X119" s="105">
        <v>72.400000000000006</v>
      </c>
      <c r="Y119" s="105">
        <v>68.400000000000006</v>
      </c>
      <c r="Z119" s="105">
        <v>66</v>
      </c>
      <c r="AA119" s="105"/>
      <c r="AB119" s="105">
        <v>80</v>
      </c>
      <c r="AC119" s="105">
        <v>80</v>
      </c>
      <c r="AD119" s="105">
        <v>80</v>
      </c>
      <c r="AE119" s="105">
        <v>80</v>
      </c>
      <c r="AF119" s="105">
        <v>85</v>
      </c>
      <c r="AG119" s="118"/>
      <c r="AH119" s="47">
        <f t="shared" si="8"/>
        <v>95</v>
      </c>
      <c r="AI119" s="48">
        <f t="shared" si="9"/>
        <v>29.8</v>
      </c>
    </row>
    <row r="120" spans="1:37" ht="15.75" thickBot="1" x14ac:dyDescent="0.3">
      <c r="A120" s="119" t="s">
        <v>128</v>
      </c>
      <c r="B120" s="105">
        <v>51.2</v>
      </c>
      <c r="C120" s="105">
        <v>41.4</v>
      </c>
      <c r="D120" s="105">
        <v>34.700000000000003</v>
      </c>
      <c r="E120" s="105">
        <v>29.3</v>
      </c>
      <c r="F120" s="105">
        <v>24.4</v>
      </c>
      <c r="G120" s="105">
        <v>8.4</v>
      </c>
      <c r="H120" s="105">
        <v>2.5</v>
      </c>
      <c r="I120" s="105">
        <v>-5.5</v>
      </c>
      <c r="J120" s="105">
        <v>-2.1</v>
      </c>
      <c r="K120" s="105">
        <v>5</v>
      </c>
      <c r="L120" s="105">
        <v>12.1</v>
      </c>
      <c r="M120" s="105">
        <v>32.6</v>
      </c>
      <c r="N120" s="105">
        <v>24.7</v>
      </c>
      <c r="O120" s="105">
        <v>37</v>
      </c>
      <c r="P120" s="105">
        <v>53.1</v>
      </c>
      <c r="Q120" s="105">
        <v>51.8</v>
      </c>
      <c r="R120" s="105">
        <v>64.8</v>
      </c>
      <c r="S120" s="105">
        <v>69</v>
      </c>
      <c r="T120" s="105">
        <v>77</v>
      </c>
      <c r="U120" s="105">
        <v>65.7</v>
      </c>
      <c r="V120" s="105">
        <v>40</v>
      </c>
      <c r="W120" s="105">
        <v>49</v>
      </c>
      <c r="X120" s="105">
        <v>38</v>
      </c>
      <c r="Y120" s="105">
        <v>54</v>
      </c>
      <c r="Z120" s="105">
        <v>83</v>
      </c>
      <c r="AA120" s="105"/>
      <c r="AB120" s="105">
        <v>81</v>
      </c>
      <c r="AC120" s="105">
        <v>60</v>
      </c>
      <c r="AD120" s="105">
        <v>55</v>
      </c>
      <c r="AE120" s="105">
        <v>61</v>
      </c>
      <c r="AF120" s="105">
        <v>59</v>
      </c>
      <c r="AG120" s="118"/>
      <c r="AH120" s="47">
        <f t="shared" si="8"/>
        <v>83</v>
      </c>
      <c r="AI120" s="48">
        <f t="shared" si="9"/>
        <v>-5.5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7">SUM(B122:B226)</f>
        <v>0</v>
      </c>
      <c r="C227" s="136">
        <f t="shared" si="17"/>
        <v>0</v>
      </c>
      <c r="D227" s="136">
        <f t="shared" si="17"/>
        <v>0</v>
      </c>
      <c r="E227" s="136">
        <f t="shared" si="17"/>
        <v>0</v>
      </c>
      <c r="F227" s="136">
        <f t="shared" si="17"/>
        <v>0</v>
      </c>
      <c r="G227" s="136">
        <f t="shared" si="17"/>
        <v>0</v>
      </c>
      <c r="H227" s="136">
        <f t="shared" si="17"/>
        <v>0</v>
      </c>
      <c r="I227" s="136">
        <f t="shared" si="17"/>
        <v>0</v>
      </c>
      <c r="J227" s="136">
        <f t="shared" si="17"/>
        <v>0</v>
      </c>
      <c r="K227" s="136">
        <f t="shared" si="17"/>
        <v>0</v>
      </c>
      <c r="L227" s="136">
        <f t="shared" si="17"/>
        <v>0</v>
      </c>
      <c r="M227" s="136">
        <f t="shared" si="17"/>
        <v>0</v>
      </c>
      <c r="N227" s="136">
        <f t="shared" si="17"/>
        <v>0</v>
      </c>
      <c r="O227" s="136">
        <f t="shared" si="17"/>
        <v>0</v>
      </c>
      <c r="P227" s="136">
        <f t="shared" si="17"/>
        <v>0</v>
      </c>
      <c r="Q227" s="136">
        <f t="shared" si="17"/>
        <v>0</v>
      </c>
      <c r="R227" s="136">
        <f t="shared" si="17"/>
        <v>0</v>
      </c>
      <c r="S227" s="136">
        <f t="shared" si="17"/>
        <v>0</v>
      </c>
      <c r="T227" s="136">
        <f t="shared" si="17"/>
        <v>0</v>
      </c>
      <c r="U227" s="136">
        <f t="shared" si="17"/>
        <v>0</v>
      </c>
      <c r="V227" s="136">
        <f t="shared" si="17"/>
        <v>0</v>
      </c>
      <c r="W227" s="136">
        <f t="shared" si="17"/>
        <v>0</v>
      </c>
      <c r="X227" s="136">
        <f t="shared" si="17"/>
        <v>0</v>
      </c>
      <c r="Y227" s="136">
        <f t="shared" si="17"/>
        <v>0</v>
      </c>
      <c r="Z227" s="136">
        <f t="shared" si="17"/>
        <v>0</v>
      </c>
      <c r="AA227" s="136">
        <f t="shared" si="17"/>
        <v>0</v>
      </c>
      <c r="AB227" s="136">
        <f t="shared" si="17"/>
        <v>0</v>
      </c>
      <c r="AC227" s="136">
        <f t="shared" si="17"/>
        <v>0</v>
      </c>
      <c r="AD227" s="136">
        <f t="shared" si="17"/>
        <v>0</v>
      </c>
      <c r="AE227" s="136">
        <f t="shared" si="17"/>
        <v>0</v>
      </c>
      <c r="AF227" s="137">
        <f t="shared" si="17"/>
        <v>0</v>
      </c>
      <c r="AG227" s="138">
        <f t="shared" si="1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8">AF229</f>
        <v>0</v>
      </c>
      <c r="C229" s="140">
        <v>0.3</v>
      </c>
      <c r="D229" s="140">
        <f t="shared" ref="D229:P234" si="19">C229</f>
        <v>0.3</v>
      </c>
      <c r="E229" s="140">
        <f t="shared" si="19"/>
        <v>0.3</v>
      </c>
      <c r="F229" s="140">
        <f t="shared" si="19"/>
        <v>0.3</v>
      </c>
      <c r="G229" s="140">
        <f t="shared" si="19"/>
        <v>0.3</v>
      </c>
      <c r="H229" s="140">
        <f t="shared" si="19"/>
        <v>0.3</v>
      </c>
      <c r="I229" s="140">
        <f t="shared" si="19"/>
        <v>0.3</v>
      </c>
      <c r="J229" s="140">
        <f t="shared" si="19"/>
        <v>0.3</v>
      </c>
      <c r="K229" s="140">
        <f t="shared" si="19"/>
        <v>0.3</v>
      </c>
      <c r="L229" s="140">
        <f t="shared" si="19"/>
        <v>0.3</v>
      </c>
      <c r="M229" s="140">
        <f t="shared" si="19"/>
        <v>0.3</v>
      </c>
      <c r="N229" s="140">
        <f t="shared" si="19"/>
        <v>0.3</v>
      </c>
      <c r="O229" s="140">
        <f t="shared" si="19"/>
        <v>0.3</v>
      </c>
      <c r="P229" s="140">
        <f t="shared" si="1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8"/>
        <v>0</v>
      </c>
      <c r="C230" s="128">
        <v>0.4</v>
      </c>
      <c r="D230" s="128">
        <f t="shared" si="19"/>
        <v>0.4</v>
      </c>
      <c r="E230" s="128">
        <f t="shared" si="19"/>
        <v>0.4</v>
      </c>
      <c r="F230" s="128">
        <f t="shared" si="19"/>
        <v>0.4</v>
      </c>
      <c r="G230" s="128">
        <f t="shared" si="19"/>
        <v>0.4</v>
      </c>
      <c r="H230" s="128">
        <f t="shared" si="19"/>
        <v>0.4</v>
      </c>
      <c r="I230" s="128">
        <f t="shared" si="19"/>
        <v>0.4</v>
      </c>
      <c r="J230" s="128">
        <f t="shared" si="19"/>
        <v>0.4</v>
      </c>
      <c r="K230" s="128">
        <f t="shared" si="19"/>
        <v>0.4</v>
      </c>
      <c r="L230" s="128">
        <f t="shared" si="19"/>
        <v>0.4</v>
      </c>
      <c r="M230" s="128">
        <f t="shared" si="19"/>
        <v>0.4</v>
      </c>
      <c r="N230" s="128">
        <f t="shared" si="19"/>
        <v>0.4</v>
      </c>
      <c r="O230" s="128">
        <f t="shared" si="19"/>
        <v>0.4</v>
      </c>
      <c r="P230" s="128">
        <f t="shared" si="1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8"/>
        <v>0</v>
      </c>
      <c r="C231" s="128">
        <v>1.5</v>
      </c>
      <c r="D231" s="128">
        <f t="shared" si="19"/>
        <v>1.5</v>
      </c>
      <c r="E231" s="128">
        <f t="shared" si="19"/>
        <v>1.5</v>
      </c>
      <c r="F231" s="128">
        <f t="shared" si="19"/>
        <v>1.5</v>
      </c>
      <c r="G231" s="128">
        <f t="shared" si="19"/>
        <v>1.5</v>
      </c>
      <c r="H231" s="128">
        <f t="shared" si="1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9"/>
        <v>123.21900000000009</v>
      </c>
      <c r="K231" s="128">
        <f t="shared" ca="1" si="19"/>
        <v>123.21900000000009</v>
      </c>
      <c r="L231" s="128">
        <f t="shared" ca="1" si="19"/>
        <v>123.21900000000009</v>
      </c>
      <c r="M231" s="128">
        <f t="shared" ca="1" si="19"/>
        <v>119.19900000000008</v>
      </c>
      <c r="N231" s="128">
        <f t="shared" ca="1" si="19"/>
        <v>119.19900000000008</v>
      </c>
      <c r="O231" s="128">
        <f t="shared" ca="1" si="19"/>
        <v>119.19900000000008</v>
      </c>
      <c r="P231" s="128">
        <f t="shared" ca="1" si="1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8"/>
        <v>0</v>
      </c>
      <c r="C232" s="128">
        <v>0.3</v>
      </c>
      <c r="D232" s="128">
        <f t="shared" si="19"/>
        <v>0.3</v>
      </c>
      <c r="E232" s="128">
        <f t="shared" si="19"/>
        <v>0.3</v>
      </c>
      <c r="F232" s="128">
        <f t="shared" si="19"/>
        <v>0.3</v>
      </c>
      <c r="G232" s="128">
        <f t="shared" si="19"/>
        <v>0.3</v>
      </c>
      <c r="H232" s="128">
        <f t="shared" si="19"/>
        <v>0.3</v>
      </c>
      <c r="I232" s="128">
        <f t="shared" si="19"/>
        <v>0.3</v>
      </c>
      <c r="J232" s="128">
        <f t="shared" si="19"/>
        <v>0.3</v>
      </c>
      <c r="K232" s="128">
        <f t="shared" si="19"/>
        <v>0.3</v>
      </c>
      <c r="L232" s="128">
        <f t="shared" si="19"/>
        <v>0.3</v>
      </c>
      <c r="M232" s="128">
        <f t="shared" si="19"/>
        <v>0.3</v>
      </c>
      <c r="N232" s="128">
        <f t="shared" si="19"/>
        <v>0.3</v>
      </c>
      <c r="O232" s="128">
        <f t="shared" si="19"/>
        <v>0.3</v>
      </c>
      <c r="P232" s="128">
        <f t="shared" si="1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8"/>
        <v>0</v>
      </c>
      <c r="C233" s="128">
        <v>0.4</v>
      </c>
      <c r="D233" s="128">
        <f t="shared" si="19"/>
        <v>0.4</v>
      </c>
      <c r="E233" s="128">
        <f t="shared" si="19"/>
        <v>0.4</v>
      </c>
      <c r="F233" s="128">
        <f t="shared" si="19"/>
        <v>0.4</v>
      </c>
      <c r="G233" s="128">
        <f t="shared" si="19"/>
        <v>0.4</v>
      </c>
      <c r="H233" s="128">
        <f t="shared" si="19"/>
        <v>0.4</v>
      </c>
      <c r="I233" s="128">
        <f t="shared" si="19"/>
        <v>0.4</v>
      </c>
      <c r="J233" s="128">
        <f t="shared" si="19"/>
        <v>0.4</v>
      </c>
      <c r="K233" s="128">
        <f t="shared" si="19"/>
        <v>0.4</v>
      </c>
      <c r="L233" s="128">
        <f t="shared" si="19"/>
        <v>0.4</v>
      </c>
      <c r="M233" s="128">
        <f t="shared" si="19"/>
        <v>0.4</v>
      </c>
      <c r="N233" s="128">
        <f t="shared" si="19"/>
        <v>0.4</v>
      </c>
      <c r="O233" s="128">
        <f t="shared" si="19"/>
        <v>0.4</v>
      </c>
      <c r="P233" s="128">
        <f t="shared" si="1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8"/>
        <v>0</v>
      </c>
      <c r="C234" s="132">
        <v>0.64</v>
      </c>
      <c r="D234" s="132">
        <f t="shared" si="19"/>
        <v>0.64</v>
      </c>
      <c r="E234" s="132">
        <f t="shared" si="19"/>
        <v>0.64</v>
      </c>
      <c r="F234" s="132">
        <f t="shared" si="19"/>
        <v>0.64</v>
      </c>
      <c r="G234" s="132">
        <f t="shared" si="19"/>
        <v>0.64</v>
      </c>
      <c r="H234" s="132">
        <f t="shared" si="19"/>
        <v>0.64</v>
      </c>
      <c r="I234" s="132">
        <f t="shared" si="19"/>
        <v>0.64</v>
      </c>
      <c r="J234" s="132">
        <f t="shared" si="19"/>
        <v>0.64</v>
      </c>
      <c r="K234" s="132">
        <f t="shared" si="19"/>
        <v>0.64</v>
      </c>
      <c r="L234" s="132">
        <f t="shared" si="19"/>
        <v>0.64</v>
      </c>
      <c r="M234" s="132">
        <f t="shared" si="19"/>
        <v>0.64</v>
      </c>
      <c r="N234" s="132">
        <f t="shared" si="19"/>
        <v>0.64</v>
      </c>
      <c r="O234" s="132">
        <f t="shared" si="19"/>
        <v>0.64</v>
      </c>
      <c r="P234" s="132">
        <f t="shared" si="1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0">SUM(B229:B234)</f>
        <v>0</v>
      </c>
      <c r="C235" s="136">
        <f t="shared" si="20"/>
        <v>3.54</v>
      </c>
      <c r="D235" s="136">
        <f t="shared" si="20"/>
        <v>3.54</v>
      </c>
      <c r="E235" s="136">
        <f t="shared" si="20"/>
        <v>3.54</v>
      </c>
      <c r="F235" s="136">
        <f t="shared" si="20"/>
        <v>3.54</v>
      </c>
      <c r="G235" s="136">
        <f t="shared" si="20"/>
        <v>3.54</v>
      </c>
      <c r="H235" s="136">
        <f t="shared" si="20"/>
        <v>3.54</v>
      </c>
      <c r="I235" s="136">
        <f t="shared" ca="1" si="20"/>
        <v>121.23900000000009</v>
      </c>
      <c r="J235" s="136">
        <f t="shared" ca="1" si="20"/>
        <v>121.23900000000009</v>
      </c>
      <c r="K235" s="136">
        <f t="shared" ca="1" si="20"/>
        <v>121.23900000000009</v>
      </c>
      <c r="L235" s="136">
        <f t="shared" ca="1" si="20"/>
        <v>125.2590000000001</v>
      </c>
      <c r="M235" s="136">
        <f t="shared" ca="1" si="20"/>
        <v>121.23900000000009</v>
      </c>
      <c r="N235" s="136">
        <f t="shared" ca="1" si="20"/>
        <v>121.23900000000009</v>
      </c>
      <c r="O235" s="136">
        <f t="shared" ca="1" si="20"/>
        <v>121.23900000000009</v>
      </c>
      <c r="P235" s="136">
        <f t="shared" ca="1" si="20"/>
        <v>121.23900000000009</v>
      </c>
      <c r="Q235" s="136">
        <f t="shared" si="20"/>
        <v>0</v>
      </c>
      <c r="R235" s="136">
        <f t="shared" si="20"/>
        <v>0</v>
      </c>
      <c r="S235" s="136">
        <f t="shared" si="20"/>
        <v>0</v>
      </c>
      <c r="T235" s="136">
        <f t="shared" si="20"/>
        <v>0</v>
      </c>
      <c r="U235" s="136">
        <f t="shared" si="20"/>
        <v>0</v>
      </c>
      <c r="V235" s="136">
        <f t="shared" si="20"/>
        <v>0</v>
      </c>
      <c r="W235" s="136">
        <f t="shared" si="20"/>
        <v>0</v>
      </c>
      <c r="X235" s="136">
        <f t="shared" si="20"/>
        <v>0</v>
      </c>
      <c r="Y235" s="136">
        <f t="shared" si="20"/>
        <v>0</v>
      </c>
      <c r="Z235" s="136">
        <f t="shared" si="20"/>
        <v>0</v>
      </c>
      <c r="AA235" s="136">
        <f t="shared" si="20"/>
        <v>0</v>
      </c>
      <c r="AB235" s="136">
        <f t="shared" si="20"/>
        <v>0</v>
      </c>
      <c r="AC235" s="136">
        <f t="shared" si="20"/>
        <v>0</v>
      </c>
      <c r="AD235" s="136">
        <f t="shared" si="20"/>
        <v>0</v>
      </c>
      <c r="AE235" s="136">
        <f t="shared" si="20"/>
        <v>0</v>
      </c>
      <c r="AF235" s="136">
        <f t="shared" si="20"/>
        <v>0</v>
      </c>
      <c r="AG235" s="145">
        <f t="shared" si="2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1910.84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1">B91</f>
        <v>1972.04</v>
      </c>
      <c r="U249" s="170">
        <f t="shared" si="21"/>
        <v>1869.44</v>
      </c>
      <c r="V249" s="170">
        <f t="shared" si="21"/>
        <v>1850.44</v>
      </c>
      <c r="W249" s="170">
        <f t="shared" si="21"/>
        <v>1870.84</v>
      </c>
      <c r="X249" s="170">
        <f t="shared" si="21"/>
        <v>1860.34</v>
      </c>
      <c r="Y249" s="170">
        <f t="shared" si="21"/>
        <v>1877.34</v>
      </c>
      <c r="Z249" s="170">
        <f t="shared" si="21"/>
        <v>1866.64</v>
      </c>
      <c r="AA249" s="170">
        <f t="shared" si="21"/>
        <v>1865.8400000000001</v>
      </c>
      <c r="AB249" s="170">
        <f t="shared" si="21"/>
        <v>1860.14</v>
      </c>
      <c r="AC249" s="170">
        <f t="shared" si="21"/>
        <v>1907.14</v>
      </c>
      <c r="AD249" s="170">
        <f t="shared" si="21"/>
        <v>1908.04</v>
      </c>
      <c r="AE249" s="170">
        <f t="shared" si="21"/>
        <v>1910.84</v>
      </c>
      <c r="AF249" s="170">
        <f t="shared" si="21"/>
        <v>1843.34</v>
      </c>
      <c r="AG249" s="170">
        <f t="shared" si="21"/>
        <v>1905.3400000000001</v>
      </c>
      <c r="AH249" s="170">
        <f t="shared" si="21"/>
        <v>1856.44</v>
      </c>
      <c r="AI249" s="170">
        <f t="shared" si="21"/>
        <v>1878.3400000000001</v>
      </c>
      <c r="AJ249" s="170">
        <f t="shared" si="21"/>
        <v>1879.34</v>
      </c>
      <c r="AK249" s="170">
        <f t="shared" si="21"/>
        <v>1878.1399999999999</v>
      </c>
      <c r="AL249" s="170">
        <f t="shared" si="21"/>
        <v>1826.44</v>
      </c>
      <c r="AM249" s="170">
        <f t="shared" si="21"/>
        <v>1832.8400000000001</v>
      </c>
      <c r="AN249" s="170">
        <f t="shared" si="21"/>
        <v>1842.94</v>
      </c>
      <c r="AO249" s="170">
        <f t="shared" si="21"/>
        <v>1841.8400000000001</v>
      </c>
      <c r="AP249" s="170">
        <f t="shared" si="21"/>
        <v>1965.5400000000002</v>
      </c>
      <c r="AQ249" s="170">
        <f t="shared" si="21"/>
        <v>1964.1400000000003</v>
      </c>
      <c r="AR249" s="170">
        <f t="shared" si="21"/>
        <v>2072.04</v>
      </c>
      <c r="AS249" s="170">
        <f t="shared" si="21"/>
        <v>2101.64</v>
      </c>
      <c r="AT249" s="170">
        <f t="shared" si="21"/>
        <v>2039.44</v>
      </c>
      <c r="AU249" s="170">
        <f t="shared" si="21"/>
        <v>2065.14</v>
      </c>
      <c r="AV249" s="170">
        <f t="shared" si="21"/>
        <v>2033.1399999999999</v>
      </c>
      <c r="AW249" s="170">
        <f t="shared" si="21"/>
        <v>2011.1399999999999</v>
      </c>
      <c r="AX249" s="170">
        <f t="shared" si="21"/>
        <v>2005.1399999999999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2">C234</f>
        <v>0.64</v>
      </c>
      <c r="C270" s="173">
        <f t="shared" si="22"/>
        <v>0.64</v>
      </c>
      <c r="D270" s="173">
        <f t="shared" si="22"/>
        <v>0.64</v>
      </c>
      <c r="E270" s="173">
        <f t="shared" si="22"/>
        <v>0.64</v>
      </c>
      <c r="F270" s="173">
        <f t="shared" si="22"/>
        <v>0.64</v>
      </c>
      <c r="G270" s="173">
        <f t="shared" si="22"/>
        <v>0.64</v>
      </c>
      <c r="H270" s="173">
        <f t="shared" si="22"/>
        <v>0.64</v>
      </c>
      <c r="I270" s="173">
        <f t="shared" si="22"/>
        <v>0.64</v>
      </c>
      <c r="J270" s="173">
        <f t="shared" si="22"/>
        <v>0.64</v>
      </c>
      <c r="K270" s="173">
        <f t="shared" si="22"/>
        <v>0.64</v>
      </c>
      <c r="L270" s="173">
        <f t="shared" si="22"/>
        <v>0.64</v>
      </c>
      <c r="M270" s="173">
        <f t="shared" si="22"/>
        <v>0.64</v>
      </c>
      <c r="N270" s="173">
        <f t="shared" si="22"/>
        <v>0.64</v>
      </c>
      <c r="O270" s="173">
        <f t="shared" si="22"/>
        <v>0.64</v>
      </c>
      <c r="P270" s="173">
        <f t="shared" si="22"/>
        <v>0</v>
      </c>
      <c r="Q270" s="173">
        <f t="shared" si="22"/>
        <v>0</v>
      </c>
      <c r="R270" s="173">
        <f t="shared" si="22"/>
        <v>0</v>
      </c>
      <c r="S270" s="173">
        <f t="shared" si="22"/>
        <v>0</v>
      </c>
      <c r="T270" s="173">
        <f t="shared" si="22"/>
        <v>0</v>
      </c>
      <c r="U270" s="173">
        <f t="shared" si="22"/>
        <v>0</v>
      </c>
      <c r="V270" s="173">
        <f t="shared" si="22"/>
        <v>0</v>
      </c>
      <c r="W270" s="173">
        <f t="shared" si="22"/>
        <v>0</v>
      </c>
      <c r="X270" s="173">
        <f t="shared" si="22"/>
        <v>0</v>
      </c>
      <c r="Y270" s="173">
        <f t="shared" si="22"/>
        <v>0</v>
      </c>
      <c r="Z270" s="173">
        <f t="shared" si="22"/>
        <v>0</v>
      </c>
      <c r="AA270" s="173">
        <f t="shared" si="22"/>
        <v>0</v>
      </c>
      <c r="AB270" s="173">
        <f t="shared" si="22"/>
        <v>0</v>
      </c>
      <c r="AC270" s="173">
        <f t="shared" si="22"/>
        <v>0</v>
      </c>
      <c r="AD270" s="173">
        <f t="shared" si="22"/>
        <v>0</v>
      </c>
      <c r="AE270" s="173">
        <f t="shared" si="2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3">IF(B238&lt;100,"",B238-520)</f>
        <v/>
      </c>
      <c r="C271" s="174" t="str">
        <f t="shared" si="23"/>
        <v/>
      </c>
      <c r="D271" s="174" t="str">
        <f t="shared" si="23"/>
        <v/>
      </c>
      <c r="E271" s="174" t="str">
        <f t="shared" si="23"/>
        <v/>
      </c>
      <c r="F271" s="174" t="str">
        <f t="shared" si="23"/>
        <v/>
      </c>
      <c r="G271" s="174" t="str">
        <f t="shared" si="23"/>
        <v/>
      </c>
      <c r="H271" s="174" t="str">
        <f t="shared" si="23"/>
        <v/>
      </c>
      <c r="I271" s="174" t="str">
        <f t="shared" si="23"/>
        <v/>
      </c>
      <c r="J271" s="174" t="str">
        <f t="shared" si="23"/>
        <v/>
      </c>
      <c r="K271" s="174" t="str">
        <f t="shared" si="23"/>
        <v/>
      </c>
      <c r="L271" s="174" t="str">
        <f t="shared" si="23"/>
        <v/>
      </c>
      <c r="M271" s="174" t="str">
        <f t="shared" si="23"/>
        <v/>
      </c>
      <c r="N271" s="174" t="str">
        <f t="shared" si="23"/>
        <v/>
      </c>
      <c r="O271" s="174" t="str">
        <f t="shared" si="23"/>
        <v/>
      </c>
      <c r="P271" s="174" t="str">
        <f t="shared" si="23"/>
        <v/>
      </c>
      <c r="Q271" s="174" t="str">
        <f t="shared" si="23"/>
        <v/>
      </c>
      <c r="R271" s="174" t="str">
        <f t="shared" si="23"/>
        <v/>
      </c>
      <c r="S271" s="174" t="str">
        <f t="shared" si="23"/>
        <v/>
      </c>
      <c r="T271" s="174" t="str">
        <f t="shared" si="23"/>
        <v/>
      </c>
      <c r="U271" s="174" t="str">
        <f t="shared" si="23"/>
        <v/>
      </c>
      <c r="V271" s="174" t="str">
        <f t="shared" si="23"/>
        <v/>
      </c>
      <c r="W271" s="174" t="str">
        <f t="shared" si="23"/>
        <v/>
      </c>
      <c r="X271" s="174" t="str">
        <f t="shared" si="23"/>
        <v/>
      </c>
      <c r="Y271" s="174" t="str">
        <f t="shared" si="23"/>
        <v/>
      </c>
      <c r="Z271" s="174" t="str">
        <f t="shared" si="23"/>
        <v/>
      </c>
      <c r="AA271" s="174" t="str">
        <f t="shared" si="23"/>
        <v/>
      </c>
      <c r="AB271" s="174" t="str">
        <f t="shared" si="23"/>
        <v/>
      </c>
      <c r="AC271" s="174" t="str">
        <f t="shared" si="23"/>
        <v/>
      </c>
      <c r="AD271" s="174" t="str">
        <f t="shared" si="23"/>
        <v/>
      </c>
      <c r="AE271" s="174" t="str">
        <f t="shared" si="23"/>
        <v/>
      </c>
      <c r="AF271" s="174" t="str">
        <f t="shared" si="2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4">IF(B239&lt;100,"",B239-620)</f>
        <v/>
      </c>
      <c r="C272" s="174" t="str">
        <f t="shared" si="24"/>
        <v/>
      </c>
      <c r="D272" s="174" t="str">
        <f t="shared" si="24"/>
        <v/>
      </c>
      <c r="E272" s="174" t="str">
        <f t="shared" si="24"/>
        <v/>
      </c>
      <c r="F272" s="174" t="str">
        <f t="shared" si="24"/>
        <v/>
      </c>
      <c r="G272" s="174" t="str">
        <f t="shared" si="24"/>
        <v/>
      </c>
      <c r="H272" s="174" t="str">
        <f t="shared" si="24"/>
        <v/>
      </c>
      <c r="I272" s="174" t="str">
        <f t="shared" si="24"/>
        <v/>
      </c>
      <c r="J272" s="174" t="str">
        <f t="shared" si="24"/>
        <v/>
      </c>
      <c r="K272" s="174" t="str">
        <f t="shared" si="24"/>
        <v/>
      </c>
      <c r="L272" s="174" t="str">
        <f t="shared" si="24"/>
        <v/>
      </c>
      <c r="M272" s="174" t="str">
        <f t="shared" si="24"/>
        <v/>
      </c>
      <c r="N272" s="174" t="str">
        <f t="shared" si="24"/>
        <v/>
      </c>
      <c r="O272" s="174" t="str">
        <f t="shared" si="24"/>
        <v/>
      </c>
      <c r="P272" s="174" t="str">
        <f t="shared" si="24"/>
        <v/>
      </c>
      <c r="Q272" s="174" t="str">
        <f t="shared" si="24"/>
        <v/>
      </c>
      <c r="R272" s="174" t="str">
        <f t="shared" si="24"/>
        <v/>
      </c>
      <c r="S272" s="174" t="str">
        <f t="shared" si="24"/>
        <v/>
      </c>
      <c r="T272" s="174" t="str">
        <f t="shared" si="24"/>
        <v/>
      </c>
      <c r="U272" s="174" t="str">
        <f t="shared" si="24"/>
        <v/>
      </c>
      <c r="V272" s="174" t="str">
        <f t="shared" si="24"/>
        <v/>
      </c>
      <c r="W272" s="174" t="str">
        <f t="shared" si="24"/>
        <v/>
      </c>
      <c r="X272" s="174" t="str">
        <f t="shared" si="24"/>
        <v/>
      </c>
      <c r="Y272" s="174" t="str">
        <f t="shared" si="24"/>
        <v/>
      </c>
      <c r="Z272" s="174" t="str">
        <f t="shared" si="24"/>
        <v/>
      </c>
      <c r="AA272" s="174" t="str">
        <f t="shared" si="24"/>
        <v/>
      </c>
      <c r="AB272" s="174" t="str">
        <f t="shared" si="24"/>
        <v/>
      </c>
      <c r="AC272" s="174" t="str">
        <f t="shared" si="24"/>
        <v/>
      </c>
      <c r="AD272" s="174" t="str">
        <f t="shared" si="24"/>
        <v/>
      </c>
      <c r="AE272" s="174" t="str">
        <f t="shared" si="24"/>
        <v/>
      </c>
      <c r="AF272" s="174" t="str">
        <f t="shared" si="2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5">IF(B240&lt;100,"",B240-330)</f>
        <v/>
      </c>
      <c r="C273" s="174" t="str">
        <f t="shared" si="25"/>
        <v/>
      </c>
      <c r="D273" s="174" t="str">
        <f t="shared" si="25"/>
        <v/>
      </c>
      <c r="E273" s="174" t="str">
        <f t="shared" si="25"/>
        <v/>
      </c>
      <c r="F273" s="174" t="str">
        <f t="shared" si="25"/>
        <v/>
      </c>
      <c r="G273" s="174" t="str">
        <f t="shared" si="25"/>
        <v/>
      </c>
      <c r="H273" s="174" t="str">
        <f t="shared" si="25"/>
        <v/>
      </c>
      <c r="I273" s="174" t="str">
        <f t="shared" si="25"/>
        <v/>
      </c>
      <c r="J273" s="174" t="str">
        <f t="shared" si="25"/>
        <v/>
      </c>
      <c r="K273" s="174" t="str">
        <f t="shared" si="25"/>
        <v/>
      </c>
      <c r="L273" s="174" t="str">
        <f t="shared" si="25"/>
        <v/>
      </c>
      <c r="M273" s="174" t="str">
        <f t="shared" si="25"/>
        <v/>
      </c>
      <c r="N273" s="174" t="str">
        <f t="shared" si="25"/>
        <v/>
      </c>
      <c r="O273" s="174" t="str">
        <f t="shared" si="25"/>
        <v/>
      </c>
      <c r="P273" s="174" t="str">
        <f t="shared" si="25"/>
        <v/>
      </c>
      <c r="Q273" s="174" t="str">
        <f t="shared" si="25"/>
        <v/>
      </c>
      <c r="R273" s="174" t="str">
        <f t="shared" si="25"/>
        <v/>
      </c>
      <c r="S273" s="174" t="str">
        <f t="shared" si="25"/>
        <v/>
      </c>
      <c r="T273" s="174" t="str">
        <f t="shared" si="25"/>
        <v/>
      </c>
      <c r="U273" s="174" t="str">
        <f t="shared" si="25"/>
        <v/>
      </c>
      <c r="V273" s="174" t="str">
        <f t="shared" si="25"/>
        <v/>
      </c>
      <c r="W273" s="174" t="str">
        <f t="shared" si="25"/>
        <v/>
      </c>
      <c r="X273" s="174" t="str">
        <f t="shared" si="25"/>
        <v/>
      </c>
      <c r="Y273" s="174" t="str">
        <f t="shared" si="25"/>
        <v/>
      </c>
      <c r="Z273" s="174" t="str">
        <f t="shared" si="25"/>
        <v/>
      </c>
      <c r="AA273" s="174" t="str">
        <f t="shared" si="25"/>
        <v/>
      </c>
      <c r="AB273" s="174" t="str">
        <f t="shared" si="25"/>
        <v/>
      </c>
      <c r="AC273" s="174" t="str">
        <f t="shared" si="25"/>
        <v/>
      </c>
      <c r="AD273" s="174" t="str">
        <f t="shared" si="25"/>
        <v/>
      </c>
      <c r="AE273" s="174" t="str">
        <f t="shared" si="25"/>
        <v/>
      </c>
      <c r="AF273" s="174" t="str">
        <f t="shared" si="2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6">IF(B241&lt;100,"",B241-1500)</f>
        <v/>
      </c>
      <c r="C274" s="174" t="str">
        <f t="shared" si="26"/>
        <v/>
      </c>
      <c r="D274" s="174" t="str">
        <f t="shared" si="26"/>
        <v/>
      </c>
      <c r="E274" s="174" t="str">
        <f t="shared" si="26"/>
        <v/>
      </c>
      <c r="F274" s="174" t="str">
        <f t="shared" si="26"/>
        <v/>
      </c>
      <c r="G274" s="174" t="str">
        <f t="shared" si="26"/>
        <v/>
      </c>
      <c r="H274" s="174" t="str">
        <f t="shared" si="26"/>
        <v/>
      </c>
      <c r="I274" s="174" t="str">
        <f t="shared" si="26"/>
        <v/>
      </c>
      <c r="J274" s="174" t="str">
        <f t="shared" si="26"/>
        <v/>
      </c>
      <c r="K274" s="174" t="str">
        <f t="shared" si="26"/>
        <v/>
      </c>
      <c r="L274" s="174" t="str">
        <f t="shared" si="26"/>
        <v/>
      </c>
      <c r="M274" s="174" t="str">
        <f t="shared" si="26"/>
        <v/>
      </c>
      <c r="N274" s="174" t="str">
        <f t="shared" si="26"/>
        <v/>
      </c>
      <c r="O274" s="174" t="str">
        <f t="shared" si="26"/>
        <v/>
      </c>
      <c r="P274" s="174" t="str">
        <f t="shared" si="26"/>
        <v/>
      </c>
      <c r="Q274" s="174" t="str">
        <f t="shared" si="26"/>
        <v/>
      </c>
      <c r="R274" s="174" t="str">
        <f t="shared" si="26"/>
        <v/>
      </c>
      <c r="S274" s="174" t="str">
        <f t="shared" si="26"/>
        <v/>
      </c>
      <c r="T274" s="174" t="str">
        <f t="shared" si="26"/>
        <v/>
      </c>
      <c r="U274" s="174" t="str">
        <f t="shared" si="26"/>
        <v/>
      </c>
      <c r="V274" s="174" t="str">
        <f t="shared" si="26"/>
        <v/>
      </c>
      <c r="W274" s="174" t="str">
        <f t="shared" si="26"/>
        <v/>
      </c>
      <c r="X274" s="174" t="str">
        <f t="shared" si="26"/>
        <v/>
      </c>
      <c r="Y274" s="174" t="str">
        <f t="shared" si="26"/>
        <v/>
      </c>
      <c r="Z274" s="174" t="str">
        <f t="shared" si="26"/>
        <v/>
      </c>
      <c r="AA274" s="174" t="str">
        <f t="shared" si="26"/>
        <v/>
      </c>
      <c r="AB274" s="174" t="str">
        <f t="shared" si="26"/>
        <v/>
      </c>
      <c r="AC274" s="174" t="str">
        <f t="shared" si="26"/>
        <v/>
      </c>
      <c r="AD274" s="174" t="str">
        <f t="shared" si="26"/>
        <v/>
      </c>
      <c r="AE274" s="174" t="str">
        <f t="shared" si="26"/>
        <v/>
      </c>
      <c r="AF274" s="174" t="str">
        <f t="shared" si="2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990" priority="64">
      <formula>$AH11=0</formula>
    </cfRule>
  </conditionalFormatting>
  <conditionalFormatting sqref="B8 M8 S8 AB8">
    <cfRule type="expression" dxfId="3989" priority="117">
      <formula>C$9&lt;8/24</formula>
    </cfRule>
    <cfRule type="expression" dxfId="3988" priority="116">
      <formula>AND(C$9&gt;=8/24,C$9&lt;14/24)</formula>
    </cfRule>
    <cfRule type="expression" dxfId="3987" priority="115">
      <formula>AND(C$9&gt;=14/24,C$9&lt;20/24)</formula>
    </cfRule>
  </conditionalFormatting>
  <conditionalFormatting sqref="B54:C54">
    <cfRule type="expression" dxfId="3986" priority="38">
      <formula>B$9&gt;=20/24</formula>
    </cfRule>
    <cfRule type="expression" dxfId="3985" priority="39">
      <formula>AND(B$9&gt;=14/24,B$9&lt;20/24)</formula>
    </cfRule>
    <cfRule type="expression" dxfId="3984" priority="40">
      <formula>AND(B$9&gt;=8/24,B$9&lt;14/24)</formula>
    </cfRule>
    <cfRule type="expression" dxfId="3983" priority="41">
      <formula>B$9&lt;8/24</formula>
    </cfRule>
  </conditionalFormatting>
  <conditionalFormatting sqref="B54:C66">
    <cfRule type="expression" dxfId="3982" priority="33">
      <formula>B54&gt;$AG54</formula>
    </cfRule>
  </conditionalFormatting>
  <conditionalFormatting sqref="B55:D59">
    <cfRule type="expression" dxfId="3981" priority="63">
      <formula>B$9&lt;8/24</formula>
    </cfRule>
    <cfRule type="expression" dxfId="3980" priority="62">
      <formula>AND(B$9&gt;=8/24,B$9&lt;14/24)</formula>
    </cfRule>
    <cfRule type="expression" dxfId="3979" priority="61">
      <formula>AND(B$9&gt;=14/24,B$9&lt;20/24)</formula>
    </cfRule>
    <cfRule type="expression" dxfId="3978" priority="60">
      <formula>B$9&gt;=20/24</formula>
    </cfRule>
  </conditionalFormatting>
  <conditionalFormatting sqref="B60:W60">
    <cfRule type="expression" dxfId="3977" priority="52">
      <formula>AND(B$9&gt;=14/24,B$9&lt;20/24)</formula>
    </cfRule>
    <cfRule type="expression" dxfId="3976" priority="51">
      <formula>B$9&gt;=20/24</formula>
    </cfRule>
    <cfRule type="expression" dxfId="3975" priority="54">
      <formula>B$9&lt;8/24</formula>
    </cfRule>
    <cfRule type="expression" dxfId="3974" priority="53">
      <formula>AND(B$9&gt;=8/24,B$9&lt;14/24)</formula>
    </cfRule>
  </conditionalFormatting>
  <conditionalFormatting sqref="B9:AF45">
    <cfRule type="expression" dxfId="3973" priority="23">
      <formula>B$9&gt;=20/24</formula>
    </cfRule>
    <cfRule type="expression" dxfId="3972" priority="24">
      <formula>AND(B$9&gt;=14/24,B$9&lt;20/24)</formula>
    </cfRule>
    <cfRule type="expression" dxfId="3971" priority="25">
      <formula>AND(B$9&gt;=8/24,B$9&lt;14/24)</formula>
    </cfRule>
    <cfRule type="expression" dxfId="3970" priority="26">
      <formula>B$9&lt;8/24</formula>
    </cfRule>
  </conditionalFormatting>
  <conditionalFormatting sqref="B11:AF46">
    <cfRule type="expression" dxfId="3969" priority="22">
      <formula>B11&gt;$AG11</formula>
    </cfRule>
  </conditionalFormatting>
  <conditionalFormatting sqref="B46:AF46">
    <cfRule type="expression" dxfId="3968" priority="21">
      <formula>B$9&lt;8/24</formula>
    </cfRule>
    <cfRule type="expression" dxfId="3967" priority="18">
      <formula>B$9&gt;=20/24</formula>
    </cfRule>
    <cfRule type="expression" dxfId="3966" priority="19">
      <formula>AND(B$9&gt;=14/24,B$9&lt;20/24)</formula>
    </cfRule>
    <cfRule type="expression" dxfId="3965" priority="20">
      <formula>AND(B$9&gt;=8/24,B$9&lt;14/24)</formula>
    </cfRule>
  </conditionalFormatting>
  <conditionalFormatting sqref="B47:AF47">
    <cfRule type="expression" dxfId="3964" priority="32">
      <formula>B47&gt;$AG47</formula>
    </cfRule>
  </conditionalFormatting>
  <conditionalFormatting sqref="B47:AF49">
    <cfRule type="expression" dxfId="3963" priority="31">
      <formula>B$9&lt;8/24</formula>
    </cfRule>
    <cfRule type="expression" dxfId="3962" priority="30">
      <formula>AND(B$9&gt;=8/24,B$9&lt;14/24)</formula>
    </cfRule>
    <cfRule type="expression" dxfId="3961" priority="29">
      <formula>AND(B$9&gt;=14/24,B$9&lt;20/24)</formula>
    </cfRule>
    <cfRule type="expression" dxfId="3960" priority="28">
      <formula>B$9&gt;=20/24</formula>
    </cfRule>
  </conditionalFormatting>
  <conditionalFormatting sqref="B48:AF53">
    <cfRule type="expression" dxfId="3959" priority="27">
      <formula>B48&gt;$AG48</formula>
    </cfRule>
  </conditionalFormatting>
  <conditionalFormatting sqref="B51:AF53">
    <cfRule type="expression" dxfId="3958" priority="48">
      <formula>AND(B$9&gt;=14/24,B$9&lt;20/24)</formula>
    </cfRule>
    <cfRule type="expression" dxfId="3957" priority="49">
      <formula>AND(B$9&gt;=8/24,B$9&lt;14/24)</formula>
    </cfRule>
    <cfRule type="expression" dxfId="3956" priority="50">
      <formula>B$9&lt;8/24</formula>
    </cfRule>
    <cfRule type="expression" dxfId="3955" priority="47">
      <formula>B$9&gt;=20/24</formula>
    </cfRule>
  </conditionalFormatting>
  <conditionalFormatting sqref="B61:AF66">
    <cfRule type="expression" dxfId="3954" priority="35">
      <formula>AND(B$9&gt;=14/24,B$9&lt;20/24)</formula>
    </cfRule>
    <cfRule type="expression" dxfId="3953" priority="36">
      <formula>AND(B$9&gt;=8/24,B$9&lt;14/24)</formula>
    </cfRule>
    <cfRule type="expression" dxfId="3952" priority="37">
      <formula>B$9&lt;8/24</formula>
    </cfRule>
    <cfRule type="expression" dxfId="3951" priority="34">
      <formula>B$9&gt;=20/24</formula>
    </cfRule>
  </conditionalFormatting>
  <conditionalFormatting sqref="B69:AF71">
    <cfRule type="expression" dxfId="3950" priority="58">
      <formula>AND(B$9&gt;=8/24,B$9&lt;14/24)</formula>
    </cfRule>
    <cfRule type="expression" dxfId="3949" priority="59">
      <formula>B$9&lt;8/24</formula>
    </cfRule>
    <cfRule type="expression" dxfId="3948" priority="55">
      <formula>B69&gt;$AG69</formula>
    </cfRule>
    <cfRule type="expression" dxfId="3947" priority="56">
      <formula>B$9&gt;=20/24</formula>
    </cfRule>
    <cfRule type="expression" dxfId="3946" priority="57">
      <formula>AND(B$9&gt;=14/24,B$9&lt;20/24)</formula>
    </cfRule>
  </conditionalFormatting>
  <conditionalFormatting sqref="B73:AF91">
    <cfRule type="expression" dxfId="3945" priority="2">
      <formula>AND(B$9&gt;=14/24,B$9&lt;20/24)</formula>
    </cfRule>
    <cfRule type="expression" dxfId="3944" priority="4">
      <formula>B$9&lt;8/24</formula>
    </cfRule>
    <cfRule type="expression" dxfId="3943" priority="3">
      <formula>AND(B$9&gt;=8/24,B$9&lt;14/24)</formula>
    </cfRule>
    <cfRule type="expression" dxfId="3942" priority="1">
      <formula>B$9&gt;=20/24</formula>
    </cfRule>
  </conditionalFormatting>
  <conditionalFormatting sqref="B111:AF120">
    <cfRule type="expression" dxfId="3941" priority="17">
      <formula>B$9&lt;8/24</formula>
    </cfRule>
    <cfRule type="expression" dxfId="3940" priority="16">
      <formula>AND(B$9&gt;=8/24,B$9&lt;14/24)</formula>
    </cfRule>
    <cfRule type="expression" dxfId="3939" priority="15">
      <formula>AND(B$9&gt;=14/24,B$9&lt;20/24)</formula>
    </cfRule>
    <cfRule type="expression" dxfId="3938" priority="14">
      <formula>B$9&gt;=20/24</formula>
    </cfRule>
  </conditionalFormatting>
  <conditionalFormatting sqref="B227:AF227 D229:AF230 B229:B235 D231:H231 J231:AF231 D232:AF235 U248:AF248">
    <cfRule type="expression" dxfId="3937" priority="108">
      <formula>B$9&gt;=20/24</formula>
    </cfRule>
    <cfRule type="expression" dxfId="3936" priority="110">
      <formula>AND(B$9&gt;=8/24,B$9&lt;14/24)</formula>
    </cfRule>
    <cfRule type="expression" dxfId="3935" priority="111">
      <formula>B$9&lt;8/24</formula>
    </cfRule>
    <cfRule type="expression" dxfId="3934" priority="109">
      <formula>AND(B$9&gt;=14/24,B$9&lt;20/24)</formula>
    </cfRule>
  </conditionalFormatting>
  <conditionalFormatting sqref="B67:AG68 B72:AG72">
    <cfRule type="expression" dxfId="3933" priority="42">
      <formula>B67&gt;$AG67</formula>
    </cfRule>
  </conditionalFormatting>
  <conditionalFormatting sqref="B72:AG72 B93:AF109">
    <cfRule type="expression" dxfId="3932" priority="46">
      <formula>B$9&lt;8/24</formula>
    </cfRule>
    <cfRule type="expression" dxfId="3931" priority="45">
      <formula>AND(B$9&gt;=8/24,B$9&lt;14/24)</formula>
    </cfRule>
    <cfRule type="expression" dxfId="3930" priority="44">
      <formula>AND(B$9&gt;=14/24,B$9&lt;20/24)</formula>
    </cfRule>
    <cfRule type="expression" dxfId="3929" priority="43">
      <formula>B$9&gt;=20/24</formula>
    </cfRule>
  </conditionalFormatting>
  <conditionalFormatting sqref="D55:AF66">
    <cfRule type="expression" dxfId="3928" priority="5">
      <formula>D55&gt;$AG55</formula>
    </cfRule>
  </conditionalFormatting>
  <conditionalFormatting sqref="D54:AG54">
    <cfRule type="expression" dxfId="3927" priority="78">
      <formula>AND(D$9&gt;=14/24,D$9&lt;20/24)</formula>
    </cfRule>
    <cfRule type="expression" dxfId="3926" priority="77">
      <formula>D$9&gt;=20/24</formula>
    </cfRule>
    <cfRule type="expression" dxfId="3925" priority="76">
      <formula>D54&gt;$AG54</formula>
    </cfRule>
    <cfRule type="expression" dxfId="3924" priority="79">
      <formula>AND(D$9&gt;=8/24,D$9&lt;14/24)</formula>
    </cfRule>
    <cfRule type="expression" dxfId="3923" priority="80">
      <formula>D$9&lt;8/24</formula>
    </cfRule>
  </conditionalFormatting>
  <conditionalFormatting sqref="E55:W57">
    <cfRule type="expression" dxfId="3922" priority="89">
      <formula>E$9&gt;=20/24</formula>
    </cfRule>
    <cfRule type="expression" dxfId="3921" priority="90">
      <formula>AND(E$9&gt;=14/24,E$9&lt;20/24)</formula>
    </cfRule>
    <cfRule type="expression" dxfId="3920" priority="91">
      <formula>AND(E$9&gt;=8/24,E$9&lt;14/24)</formula>
    </cfRule>
    <cfRule type="expression" dxfId="3919" priority="92">
      <formula>E$9&lt;8/24</formula>
    </cfRule>
  </conditionalFormatting>
  <conditionalFormatting sqref="M55:W59">
    <cfRule type="expression" dxfId="3918" priority="93">
      <formula>M$9&gt;=20/24</formula>
    </cfRule>
    <cfRule type="expression" dxfId="3917" priority="95">
      <formula>AND(M$9&gt;=8/24,M$9&lt;14/24)</formula>
    </cfRule>
    <cfRule type="expression" dxfId="3916" priority="96">
      <formula>M$9&lt;8/24</formula>
    </cfRule>
    <cfRule type="expression" dxfId="3915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914" priority="114">
      <formula>C$9&gt;=20/24</formula>
    </cfRule>
  </conditionalFormatting>
  <conditionalFormatting sqref="S8">
    <cfRule type="expression" dxfId="3913" priority="102">
      <formula>AND(U$9&gt;=14/24,U$9&lt;20/24)</formula>
    </cfRule>
    <cfRule type="expression" dxfId="3912" priority="101">
      <formula>U$9&gt;=20/24</formula>
    </cfRule>
    <cfRule type="expression" dxfId="3911" priority="103">
      <formula>AND(U$9&gt;=8/24,U$9&lt;14/24)</formula>
    </cfRule>
    <cfRule type="expression" dxfId="3910" priority="104">
      <formula>U$9&lt;8/24</formula>
    </cfRule>
  </conditionalFormatting>
  <conditionalFormatting sqref="S55:AF60">
    <cfRule type="expression" dxfId="3909" priority="10">
      <formula>S$9&gt;=20/24</formula>
    </cfRule>
    <cfRule type="expression" dxfId="3908" priority="12">
      <formula>AND(S$9&gt;=8/24,S$9&lt;14/24)</formula>
    </cfRule>
    <cfRule type="expression" dxfId="3907" priority="13">
      <formula>S$9&lt;8/24</formula>
    </cfRule>
    <cfRule type="expression" dxfId="3906" priority="11">
      <formula>AND(S$9&gt;=14/24,S$9&lt;20/24)</formula>
    </cfRule>
  </conditionalFormatting>
  <conditionalFormatting sqref="T248">
    <cfRule type="expression" dxfId="3905" priority="129">
      <formula>AX$9&lt;8/24</formula>
    </cfRule>
    <cfRule type="expression" dxfId="3904" priority="126">
      <formula>AX$9&gt;=20/24</formula>
    </cfRule>
    <cfRule type="expression" dxfId="3903" priority="127">
      <formula>AND(AX$9&gt;=14/24,AX$9&lt;20/24)</formula>
    </cfRule>
    <cfRule type="expression" dxfId="3902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901" priority="97">
      <formula>AD$9&gt;=20/24</formula>
    </cfRule>
    <cfRule type="expression" dxfId="3900" priority="99">
      <formula>AND(AD$9&gt;=8/24,AD$9&lt;14/24)</formula>
    </cfRule>
    <cfRule type="expression" dxfId="3899" priority="98">
      <formula>AND(AD$9&gt;=14/24,AD$9&lt;20/24)</formula>
    </cfRule>
    <cfRule type="expression" dxfId="3898" priority="100">
      <formula>AD$9&lt;8/24</formula>
    </cfRule>
  </conditionalFormatting>
  <conditionalFormatting sqref="AE61:AF66">
    <cfRule type="expression" dxfId="3897" priority="9">
      <formula>AE$9&lt;8/24</formula>
    </cfRule>
    <cfRule type="expression" dxfId="3896" priority="8">
      <formula>AND(AE$9&gt;=8/24,AE$9&lt;14/24)</formula>
    </cfRule>
    <cfRule type="expression" dxfId="3895" priority="7">
      <formula>AND(AE$9&gt;=14/24,AE$9&lt;20/24)</formula>
    </cfRule>
    <cfRule type="expression" dxfId="3894" priority="6">
      <formula>AE$9&gt;=20/24</formula>
    </cfRule>
  </conditionalFormatting>
  <conditionalFormatting sqref="AG50">
    <cfRule type="expression" dxfId="3893" priority="84">
      <formula>AG50&gt;$AG50</formula>
    </cfRule>
  </conditionalFormatting>
  <conditionalFormatting sqref="AG89">
    <cfRule type="expression" dxfId="3892" priority="85">
      <formula>AG$9&gt;=20/24</formula>
    </cfRule>
    <cfRule type="expression" dxfId="3891" priority="86">
      <formula>AND(AG$9&gt;=14/24,AG$9&lt;20/24)</formula>
    </cfRule>
    <cfRule type="expression" dxfId="3890" priority="87">
      <formula>AND(AG$9&gt;=8/24,AG$9&lt;14/24)</formula>
    </cfRule>
    <cfRule type="expression" dxfId="3889" priority="88">
      <formula>AG$9&lt;8/24</formula>
    </cfRule>
  </conditionalFormatting>
  <conditionalFormatting sqref="AG248">
    <cfRule type="expression" dxfId="3888" priority="118">
      <formula>B$9&gt;=20/24</formula>
    </cfRule>
    <cfRule type="expression" dxfId="3887" priority="121">
      <formula>B$9&lt;8/24</formula>
    </cfRule>
    <cfRule type="expression" dxfId="3886" priority="120">
      <formula>AND(B$9&gt;=8/24,B$9&lt;14/24)</formula>
    </cfRule>
    <cfRule type="expression" dxfId="3885" priority="119">
      <formula>AND(B$9&gt;=14/24,B$9&lt;20/24)</formula>
    </cfRule>
  </conditionalFormatting>
  <conditionalFormatting sqref="AH248:AX248">
    <cfRule type="expression" dxfId="3884" priority="125">
      <formula>AG$9&lt;8/24</formula>
    </cfRule>
    <cfRule type="expression" dxfId="3883" priority="124">
      <formula>AND(AG$9&gt;=8/24,AG$9&lt;14/24)</formula>
    </cfRule>
    <cfRule type="expression" dxfId="3882" priority="123">
      <formula>AND(AG$9&gt;=14/24,AG$9&lt;20/24)</formula>
    </cfRule>
    <cfRule type="expression" dxfId="3881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880" priority="131">
      <formula>AJ$9&gt;=20/24</formula>
    </cfRule>
    <cfRule type="expression" dxfId="3879" priority="132">
      <formula>AND(AJ$9&gt;=14/24,AJ$9&lt;20/24)</formula>
    </cfRule>
    <cfRule type="expression" dxfId="3878" priority="133">
      <formula>AND(AJ$9&gt;=8/24,AJ$9&lt;14/24)</formula>
    </cfRule>
    <cfRule type="expression" dxfId="3877" priority="134">
      <formula>AJ$9&lt;8/24</formula>
    </cfRule>
  </conditionalFormatting>
  <conditionalFormatting sqref="AL80:AN80 AL86:AN86">
    <cfRule type="expression" dxfId="3876" priority="75">
      <formula>AL$9&lt;8/24</formula>
    </cfRule>
    <cfRule type="expression" dxfId="3875" priority="74">
      <formula>AND(AL$9&gt;=8/24,AL$9&lt;14/24)</formula>
    </cfRule>
    <cfRule type="expression" dxfId="3874" priority="73">
      <formula>AND(AL$9&gt;=14/24,AL$9&lt;20/24)</formula>
    </cfRule>
    <cfRule type="expression" dxfId="3873" priority="72">
      <formula>AL$9&gt;=20/24</formula>
    </cfRule>
  </conditionalFormatting>
  <conditionalFormatting sqref="AN81:AN84">
    <cfRule type="expression" dxfId="3872" priority="71">
      <formula>AN$9&lt;8/24</formula>
    </cfRule>
    <cfRule type="expression" dxfId="3871" priority="69">
      <formula>AND(AN$9&gt;=14/24,AN$9&lt;20/24)</formula>
    </cfRule>
    <cfRule type="expression" dxfId="3870" priority="70">
      <formula>AND(AN$9&gt;=8/24,AN$9&lt;14/24)</formula>
    </cfRule>
    <cfRule type="expression" dxfId="3869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3CBE-798C-41C0-8A3C-32245E1FF1E2}">
  <sheetPr codeName="Sheet2"/>
  <dimension ref="A1:CJ281"/>
  <sheetViews>
    <sheetView zoomScaleNormal="100" workbookViewId="0">
      <pane xSplit="1" ySplit="10" topLeftCell="B5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F73" activeCellId="9" sqref="C73:G73 I73 K73 M73:V73 X73 Z73 AB73 AD73 AE73 AF7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9.85546875" style="1" customWidth="1"/>
    <col min="12" max="12" width="7.42578125" style="1" customWidth="1"/>
    <col min="13" max="13" width="7.2851562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</v>
      </c>
      <c r="C4" s="196"/>
      <c r="D4" s="196"/>
      <c r="E4" s="197" t="str">
        <f ca="1">"2080/"&amp;"05/"&amp;INT(MID(CELL("filename",G6),FIND("]",CELL("filename",G6))+1,200))</f>
        <v>2080/05/1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4.5</v>
      </c>
      <c r="Q5" s="30">
        <f t="shared" si="0"/>
        <v>6.6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0.9</v>
      </c>
      <c r="Y5" s="30">
        <f t="shared" si="0"/>
        <v>0</v>
      </c>
      <c r="Z5" s="30">
        <f t="shared" si="0"/>
        <v>0</v>
      </c>
      <c r="AA5" s="30">
        <f t="shared" si="0"/>
        <v>18</v>
      </c>
      <c r="AB5" s="30">
        <f t="shared" si="0"/>
        <v>19.5</v>
      </c>
      <c r="AC5" s="30">
        <f t="shared" si="0"/>
        <v>12.4</v>
      </c>
      <c r="AD5" s="30">
        <f t="shared" si="0"/>
        <v>18.3</v>
      </c>
      <c r="AE5" s="30">
        <f t="shared" si="0"/>
        <v>6.6</v>
      </c>
      <c r="AF5" s="30">
        <f>B84</f>
        <v>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2011MW at 7:00hr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Load=1847</v>
      </c>
      <c r="B7" s="35">
        <f t="shared" ref="B7:AF7" si="1">B91</f>
        <v>2024.1399999999999</v>
      </c>
      <c r="C7" s="35">
        <f t="shared" si="1"/>
        <v>1942.1399999999999</v>
      </c>
      <c r="D7" s="35">
        <f t="shared" si="1"/>
        <v>1927.1399999999999</v>
      </c>
      <c r="E7" s="35">
        <f t="shared" si="1"/>
        <v>1942.1399999999999</v>
      </c>
      <c r="F7" s="35">
        <f t="shared" si="1"/>
        <v>1932.84</v>
      </c>
      <c r="G7" s="35">
        <f t="shared" si="1"/>
        <v>1967.84</v>
      </c>
      <c r="H7" s="35">
        <f t="shared" si="1"/>
        <v>1970.74</v>
      </c>
      <c r="I7" s="35">
        <f t="shared" si="1"/>
        <v>1970.74</v>
      </c>
      <c r="J7" s="35">
        <f t="shared" si="1"/>
        <v>1976.74</v>
      </c>
      <c r="K7" s="35">
        <f t="shared" si="1"/>
        <v>2011.24</v>
      </c>
      <c r="L7" s="35">
        <f t="shared" si="1"/>
        <v>1975.84</v>
      </c>
      <c r="M7" s="35">
        <f t="shared" si="1"/>
        <v>1978.04</v>
      </c>
      <c r="N7" s="35">
        <f>N91</f>
        <v>1895.94</v>
      </c>
      <c r="O7" s="35">
        <f t="shared" si="1"/>
        <v>1928.44</v>
      </c>
      <c r="P7" s="35">
        <f t="shared" si="1"/>
        <v>1898.2399999999998</v>
      </c>
      <c r="Q7" s="35">
        <f t="shared" si="1"/>
        <v>1868.7399999999998</v>
      </c>
      <c r="R7" s="35">
        <f t="shared" si="1"/>
        <v>1903.8399999999997</v>
      </c>
      <c r="S7" s="35">
        <f t="shared" si="1"/>
        <v>1903.14</v>
      </c>
      <c r="T7" s="35">
        <f t="shared" si="1"/>
        <v>1913.0400000000002</v>
      </c>
      <c r="U7" s="35">
        <f t="shared" si="1"/>
        <v>1860.94</v>
      </c>
      <c r="V7" s="35">
        <f t="shared" si="1"/>
        <v>1847.1399999999999</v>
      </c>
      <c r="W7" s="35">
        <f t="shared" si="1"/>
        <v>1922.74</v>
      </c>
      <c r="X7" s="35">
        <f t="shared" si="1"/>
        <v>1892.6399999999999</v>
      </c>
      <c r="Y7" s="35">
        <f t="shared" si="1"/>
        <v>1917.74</v>
      </c>
      <c r="Z7" s="35">
        <f t="shared" si="1"/>
        <v>2022.5400000000002</v>
      </c>
      <c r="AA7" s="35">
        <f t="shared" si="1"/>
        <v>2043.6</v>
      </c>
      <c r="AB7" s="35">
        <f t="shared" si="1"/>
        <v>2034.8400000000001</v>
      </c>
      <c r="AC7" s="35">
        <f t="shared" si="1"/>
        <v>2058.34</v>
      </c>
      <c r="AD7" s="35">
        <f t="shared" si="1"/>
        <v>2055.2400000000002</v>
      </c>
      <c r="AE7" s="35">
        <f t="shared" si="1"/>
        <v>2028.64</v>
      </c>
      <c r="AF7" s="35">
        <f t="shared" si="1"/>
        <v>2000.34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87.1</v>
      </c>
      <c r="R11" s="45">
        <v>87.1</v>
      </c>
      <c r="S11" s="45">
        <v>90.1</v>
      </c>
      <c r="T11" s="45">
        <v>90.1</v>
      </c>
      <c r="U11" s="45">
        <v>90.1</v>
      </c>
      <c r="V11" s="45">
        <v>90.1</v>
      </c>
      <c r="W11" s="45">
        <v>90.1</v>
      </c>
      <c r="X11" s="45">
        <v>86.9</v>
      </c>
      <c r="Y11" s="45">
        <v>86.9</v>
      </c>
      <c r="Z11" s="45">
        <v>90.1</v>
      </c>
      <c r="AA11" s="45">
        <v>90.1</v>
      </c>
      <c r="AB11" s="45">
        <v>90.3</v>
      </c>
      <c r="AC11" s="45">
        <v>90.4</v>
      </c>
      <c r="AD11" s="45">
        <v>90.3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86.9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27</v>
      </c>
      <c r="L12" s="45">
        <v>27</v>
      </c>
      <c r="M12" s="45">
        <v>13</v>
      </c>
      <c r="N12" s="45">
        <v>13</v>
      </c>
      <c r="O12" s="45">
        <v>13</v>
      </c>
      <c r="P12" s="45">
        <v>13</v>
      </c>
      <c r="Q12" s="45">
        <v>9</v>
      </c>
      <c r="R12" s="45">
        <v>9</v>
      </c>
      <c r="S12" s="45">
        <v>9</v>
      </c>
      <c r="T12" s="45">
        <v>9</v>
      </c>
      <c r="U12" s="45">
        <v>9</v>
      </c>
      <c r="V12" s="45">
        <v>9</v>
      </c>
      <c r="W12" s="45">
        <v>9</v>
      </c>
      <c r="X12" s="45">
        <v>9</v>
      </c>
      <c r="Y12" s="45">
        <v>9</v>
      </c>
      <c r="Z12" s="45">
        <v>13</v>
      </c>
      <c r="AA12" s="45">
        <v>13</v>
      </c>
      <c r="AB12" s="45">
        <v>0</v>
      </c>
      <c r="AC12" s="45">
        <v>13</v>
      </c>
      <c r="AD12" s="45">
        <v>13</v>
      </c>
      <c r="AE12" s="45">
        <v>13</v>
      </c>
      <c r="AF12" s="45">
        <v>9</v>
      </c>
      <c r="AG12" s="49">
        <v>54</v>
      </c>
      <c r="AH12" s="47">
        <f t="shared" si="2"/>
        <v>27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54.8</v>
      </c>
      <c r="C13" s="45">
        <v>54.8</v>
      </c>
      <c r="D13" s="45">
        <v>54.8</v>
      </c>
      <c r="E13" s="45">
        <v>54.8</v>
      </c>
      <c r="F13" s="45">
        <v>54.8</v>
      </c>
      <c r="G13" s="45">
        <v>54.8</v>
      </c>
      <c r="H13" s="45">
        <v>54.8</v>
      </c>
      <c r="I13" s="45">
        <v>54.8</v>
      </c>
      <c r="J13" s="45">
        <v>54.8</v>
      </c>
      <c r="K13" s="45">
        <v>54.8</v>
      </c>
      <c r="L13" s="45">
        <v>54.8</v>
      </c>
      <c r="M13" s="45">
        <v>54.9</v>
      </c>
      <c r="N13" s="45">
        <v>54.9</v>
      </c>
      <c r="O13" s="45">
        <v>54.9</v>
      </c>
      <c r="P13" s="45">
        <v>54.9</v>
      </c>
      <c r="Q13" s="45">
        <v>54.9</v>
      </c>
      <c r="R13" s="45">
        <v>54.9</v>
      </c>
      <c r="S13" s="45">
        <v>54.9</v>
      </c>
      <c r="T13" s="45">
        <v>54.9</v>
      </c>
      <c r="U13" s="45">
        <v>54.9</v>
      </c>
      <c r="V13" s="45">
        <v>54.9</v>
      </c>
      <c r="W13" s="45">
        <v>54.9</v>
      </c>
      <c r="X13" s="45">
        <v>54.9</v>
      </c>
      <c r="Y13" s="45">
        <v>54.9</v>
      </c>
      <c r="Z13" s="45">
        <v>54.9</v>
      </c>
      <c r="AA13" s="45">
        <v>54.9</v>
      </c>
      <c r="AB13" s="45">
        <v>54.7</v>
      </c>
      <c r="AC13" s="45">
        <v>54.8</v>
      </c>
      <c r="AD13" s="45">
        <v>54.1</v>
      </c>
      <c r="AE13" s="45">
        <v>54.7</v>
      </c>
      <c r="AF13" s="45">
        <v>54.7</v>
      </c>
      <c r="AG13" s="46">
        <v>52.4</v>
      </c>
      <c r="AH13" s="47">
        <f t="shared" si="2"/>
        <v>54.9</v>
      </c>
      <c r="AI13" s="48">
        <f t="shared" si="3"/>
        <v>54.1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45">
        <v>50.4</v>
      </c>
      <c r="AB14" s="45">
        <v>50.3</v>
      </c>
      <c r="AC14" s="45">
        <v>50.3</v>
      </c>
      <c r="AD14" s="45">
        <v>50.5</v>
      </c>
      <c r="AE14" s="45">
        <v>50.3</v>
      </c>
      <c r="AF14" s="45">
        <v>50.3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45.8</v>
      </c>
      <c r="C15" s="45">
        <v>45.8</v>
      </c>
      <c r="D15" s="45">
        <v>45.8</v>
      </c>
      <c r="E15" s="45">
        <v>45.8</v>
      </c>
      <c r="F15" s="45">
        <v>45.8</v>
      </c>
      <c r="G15" s="45">
        <v>45.8</v>
      </c>
      <c r="H15" s="45">
        <v>45.8</v>
      </c>
      <c r="I15" s="45">
        <v>45.8</v>
      </c>
      <c r="J15" s="45">
        <v>45.8</v>
      </c>
      <c r="K15" s="45">
        <v>45.8</v>
      </c>
      <c r="L15" s="45">
        <v>45.8</v>
      </c>
      <c r="M15" s="45">
        <v>45.9</v>
      </c>
      <c r="N15" s="45">
        <v>45.9</v>
      </c>
      <c r="O15" s="45">
        <v>45.9</v>
      </c>
      <c r="P15" s="45">
        <v>45.9</v>
      </c>
      <c r="Q15" s="45">
        <v>45.9</v>
      </c>
      <c r="R15" s="45">
        <v>45.9</v>
      </c>
      <c r="S15" s="45">
        <v>45.9</v>
      </c>
      <c r="T15" s="45">
        <v>45.9</v>
      </c>
      <c r="U15" s="45">
        <v>45.9</v>
      </c>
      <c r="V15" s="45">
        <v>45.9</v>
      </c>
      <c r="W15" s="45">
        <v>45.9</v>
      </c>
      <c r="X15" s="45">
        <v>45.9</v>
      </c>
      <c r="Y15" s="45">
        <v>45.9</v>
      </c>
      <c r="Z15" s="45">
        <v>45.9</v>
      </c>
      <c r="AA15" s="45">
        <v>45.9</v>
      </c>
      <c r="AB15" s="45">
        <v>45.8</v>
      </c>
      <c r="AC15" s="45">
        <v>46</v>
      </c>
      <c r="AD15" s="45">
        <v>45.9</v>
      </c>
      <c r="AE15" s="45">
        <v>45.9</v>
      </c>
      <c r="AF15" s="45">
        <v>45.9</v>
      </c>
      <c r="AG15" s="49">
        <v>45</v>
      </c>
      <c r="AH15" s="47">
        <f t="shared" si="2"/>
        <v>46</v>
      </c>
      <c r="AI15" s="48">
        <f t="shared" si="3"/>
        <v>45.8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21</v>
      </c>
      <c r="C17" s="45">
        <v>21</v>
      </c>
      <c r="D17" s="45">
        <v>21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28.4</v>
      </c>
      <c r="N17" s="45">
        <v>28.4</v>
      </c>
      <c r="O17" s="45">
        <v>28.4</v>
      </c>
      <c r="P17" s="45">
        <v>28.4</v>
      </c>
      <c r="Q17" s="45">
        <v>28.4</v>
      </c>
      <c r="R17" s="45">
        <v>28.4</v>
      </c>
      <c r="S17" s="45">
        <v>29.5</v>
      </c>
      <c r="T17" s="45">
        <v>29.5</v>
      </c>
      <c r="U17" s="45">
        <v>29.5</v>
      </c>
      <c r="V17" s="45">
        <v>29.5</v>
      </c>
      <c r="W17" s="45">
        <v>29.5</v>
      </c>
      <c r="X17" s="45">
        <v>29.5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28</v>
      </c>
      <c r="AF17" s="45">
        <v>28</v>
      </c>
      <c r="AG17" s="49">
        <v>42</v>
      </c>
      <c r="AH17" s="47">
        <f t="shared" si="2"/>
        <v>29.5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38.46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30</v>
      </c>
      <c r="C20" s="45">
        <v>30</v>
      </c>
      <c r="D20" s="45">
        <v>15</v>
      </c>
      <c r="E20" s="45">
        <v>15</v>
      </c>
      <c r="F20" s="45">
        <v>15</v>
      </c>
      <c r="G20" s="45">
        <v>15</v>
      </c>
      <c r="H20" s="45">
        <v>15</v>
      </c>
      <c r="I20" s="45">
        <v>15</v>
      </c>
      <c r="J20" s="45">
        <v>15</v>
      </c>
      <c r="K20" s="45">
        <v>25</v>
      </c>
      <c r="L20" s="45">
        <v>10</v>
      </c>
      <c r="M20" s="45">
        <v>10</v>
      </c>
      <c r="N20" s="45">
        <v>10</v>
      </c>
      <c r="O20" s="45">
        <v>15.4</v>
      </c>
      <c r="P20" s="45">
        <v>14.8</v>
      </c>
      <c r="Q20" s="45">
        <v>5.7</v>
      </c>
      <c r="R20" s="45">
        <v>10</v>
      </c>
      <c r="S20" s="45">
        <v>6</v>
      </c>
      <c r="T20" s="45">
        <v>15</v>
      </c>
      <c r="U20" s="45">
        <v>5.4</v>
      </c>
      <c r="V20" s="45">
        <v>5.4</v>
      </c>
      <c r="W20" s="45">
        <v>5.4</v>
      </c>
      <c r="X20" s="45">
        <v>5.4</v>
      </c>
      <c r="Y20" s="45">
        <v>5.4</v>
      </c>
      <c r="Z20" s="45">
        <v>30.2</v>
      </c>
      <c r="AA20" s="45">
        <v>20</v>
      </c>
      <c r="AB20" s="45">
        <v>20.399999999999999</v>
      </c>
      <c r="AC20" s="45">
        <v>20</v>
      </c>
      <c r="AD20" s="45">
        <v>20</v>
      </c>
      <c r="AE20" s="45">
        <v>10</v>
      </c>
      <c r="AF20" s="45">
        <v>5.4</v>
      </c>
      <c r="AG20" s="51">
        <v>30</v>
      </c>
      <c r="AH20" s="47">
        <f t="shared" si="2"/>
        <v>30.2</v>
      </c>
      <c r="AI20" s="48">
        <f t="shared" si="3"/>
        <v>5.4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25</v>
      </c>
      <c r="N21" s="45">
        <v>28</v>
      </c>
      <c r="O21" s="45">
        <v>25</v>
      </c>
      <c r="P21" s="45">
        <v>29.4</v>
      </c>
      <c r="Q21" s="45">
        <v>29.4</v>
      </c>
      <c r="R21" s="45">
        <v>28.3</v>
      </c>
      <c r="S21" s="45">
        <v>28.3</v>
      </c>
      <c r="T21" s="45">
        <v>27.8</v>
      </c>
      <c r="U21" s="45">
        <v>27.8</v>
      </c>
      <c r="V21" s="45">
        <v>27.8</v>
      </c>
      <c r="W21" s="45">
        <v>27.8</v>
      </c>
      <c r="X21" s="45">
        <v>27.8</v>
      </c>
      <c r="Y21" s="45">
        <v>27.8</v>
      </c>
      <c r="Z21" s="45">
        <v>33.1</v>
      </c>
      <c r="AA21" s="45">
        <v>33.1</v>
      </c>
      <c r="AB21" s="45">
        <v>25.3</v>
      </c>
      <c r="AC21" s="45">
        <v>25.3</v>
      </c>
      <c r="AD21" s="45">
        <v>25.3</v>
      </c>
      <c r="AE21" s="45">
        <v>25.3</v>
      </c>
      <c r="AF21" s="45">
        <v>20.8</v>
      </c>
      <c r="AG21" s="49">
        <v>24.2</v>
      </c>
      <c r="AH21" s="47">
        <f t="shared" si="2"/>
        <v>33.1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28.4</v>
      </c>
      <c r="N22" s="45">
        <v>28.4</v>
      </c>
      <c r="O22" s="45">
        <v>28.4</v>
      </c>
      <c r="P22" s="45">
        <v>28.4</v>
      </c>
      <c r="Q22" s="45">
        <v>28.4</v>
      </c>
      <c r="R22" s="45">
        <v>28.4</v>
      </c>
      <c r="S22" s="45">
        <v>28.4</v>
      </c>
      <c r="T22" s="45">
        <v>28.4</v>
      </c>
      <c r="U22" s="45">
        <v>28.4</v>
      </c>
      <c r="V22" s="45">
        <v>28.4</v>
      </c>
      <c r="W22" s="45">
        <v>28.4</v>
      </c>
      <c r="X22" s="45">
        <v>28.4</v>
      </c>
      <c r="Y22" s="45">
        <v>28.4</v>
      </c>
      <c r="Z22" s="45">
        <v>28.4</v>
      </c>
      <c r="AA22" s="45">
        <v>28.4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28.4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</v>
      </c>
      <c r="C23" s="45">
        <v>13</v>
      </c>
      <c r="D23" s="45">
        <v>13</v>
      </c>
      <c r="E23" s="45">
        <v>13</v>
      </c>
      <c r="F23" s="45">
        <v>13</v>
      </c>
      <c r="G23" s="45">
        <v>13</v>
      </c>
      <c r="H23" s="45">
        <v>13</v>
      </c>
      <c r="I23" s="45">
        <v>13</v>
      </c>
      <c r="J23" s="45">
        <v>13</v>
      </c>
      <c r="K23" s="45">
        <v>13.5</v>
      </c>
      <c r="L23" s="45">
        <v>9</v>
      </c>
      <c r="M23" s="45">
        <v>9</v>
      </c>
      <c r="N23" s="45">
        <v>9</v>
      </c>
      <c r="O23" s="45">
        <v>14</v>
      </c>
      <c r="P23" s="45">
        <v>14</v>
      </c>
      <c r="Q23" s="45">
        <v>5</v>
      </c>
      <c r="R23" s="45">
        <v>5</v>
      </c>
      <c r="S23" s="45">
        <v>5</v>
      </c>
      <c r="T23" s="45">
        <v>13.5</v>
      </c>
      <c r="U23" s="45">
        <v>4.5</v>
      </c>
      <c r="V23" s="45">
        <v>4.5</v>
      </c>
      <c r="W23" s="45">
        <v>4.5</v>
      </c>
      <c r="X23" s="45">
        <v>4.5</v>
      </c>
      <c r="Y23" s="45">
        <v>4.5</v>
      </c>
      <c r="Z23" s="45">
        <v>27</v>
      </c>
      <c r="AA23" s="45">
        <v>18</v>
      </c>
      <c r="AB23" s="45">
        <v>18</v>
      </c>
      <c r="AC23" s="45">
        <v>18</v>
      </c>
      <c r="AD23" s="45">
        <v>18</v>
      </c>
      <c r="AE23" s="45">
        <f>27*0.3</f>
        <v>8.1</v>
      </c>
      <c r="AF23" s="45">
        <v>4.5</v>
      </c>
      <c r="AG23" s="51">
        <v>30</v>
      </c>
      <c r="AH23" s="47">
        <f t="shared" si="2"/>
        <v>27</v>
      </c>
      <c r="AI23" s="48">
        <f t="shared" si="3"/>
        <v>4.5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</v>
      </c>
      <c r="C24" s="45">
        <v>24</v>
      </c>
      <c r="D24" s="45">
        <v>24</v>
      </c>
      <c r="E24" s="45">
        <v>24</v>
      </c>
      <c r="F24" s="45">
        <v>24</v>
      </c>
      <c r="G24" s="45">
        <v>24</v>
      </c>
      <c r="H24" s="45">
        <v>24</v>
      </c>
      <c r="I24" s="45">
        <v>24</v>
      </c>
      <c r="J24" s="45">
        <v>24</v>
      </c>
      <c r="K24" s="45">
        <v>24</v>
      </c>
      <c r="L24" s="45">
        <v>24</v>
      </c>
      <c r="M24" s="45">
        <v>25</v>
      </c>
      <c r="N24" s="45">
        <v>25</v>
      </c>
      <c r="O24" s="45">
        <v>25</v>
      </c>
      <c r="P24" s="45">
        <v>25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25.1</v>
      </c>
      <c r="AA24" s="45">
        <v>25.1</v>
      </c>
      <c r="AB24" s="45">
        <v>25.1</v>
      </c>
      <c r="AC24" s="45">
        <v>25.1</v>
      </c>
      <c r="AD24" s="45">
        <v>25.1</v>
      </c>
      <c r="AE24" s="45">
        <v>25.1</v>
      </c>
      <c r="AF24" s="45">
        <v>25.1</v>
      </c>
      <c r="AG24" s="49">
        <v>25</v>
      </c>
      <c r="AH24" s="47">
        <f t="shared" si="2"/>
        <v>25.1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22</v>
      </c>
      <c r="G26" s="45">
        <v>22</v>
      </c>
      <c r="H26" s="45">
        <v>22</v>
      </c>
      <c r="I26" s="45">
        <v>22</v>
      </c>
      <c r="J26" s="45">
        <v>22</v>
      </c>
      <c r="K26" s="45">
        <v>22</v>
      </c>
      <c r="L26" s="45">
        <v>22</v>
      </c>
      <c r="M26" s="45">
        <v>22</v>
      </c>
      <c r="N26" s="45">
        <v>22</v>
      </c>
      <c r="O26" s="45">
        <v>22</v>
      </c>
      <c r="P26" s="45">
        <v>22</v>
      </c>
      <c r="Q26" s="45">
        <v>22</v>
      </c>
      <c r="R26" s="45">
        <v>22</v>
      </c>
      <c r="S26" s="45">
        <v>22</v>
      </c>
      <c r="T26" s="45">
        <v>22</v>
      </c>
      <c r="U26" s="45">
        <v>22</v>
      </c>
      <c r="V26" s="45">
        <v>22</v>
      </c>
      <c r="W26" s="45">
        <v>22</v>
      </c>
      <c r="X26" s="45">
        <v>22</v>
      </c>
      <c r="Y26" s="45">
        <v>22</v>
      </c>
      <c r="Z26" s="45">
        <v>22</v>
      </c>
      <c r="AA26" s="45">
        <v>22</v>
      </c>
      <c r="AB26" s="45">
        <v>22</v>
      </c>
      <c r="AC26" s="45">
        <v>22</v>
      </c>
      <c r="AD26" s="45">
        <v>22</v>
      </c>
      <c r="AE26" s="45">
        <v>22</v>
      </c>
      <c r="AF26" s="45">
        <v>22</v>
      </c>
      <c r="AG26" s="49">
        <v>25</v>
      </c>
      <c r="AH26" s="47">
        <f t="shared" si="2"/>
        <v>22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13</v>
      </c>
      <c r="C27" s="45">
        <v>13</v>
      </c>
      <c r="D27" s="45">
        <v>13</v>
      </c>
      <c r="E27" s="45">
        <v>13</v>
      </c>
      <c r="F27" s="45">
        <v>13</v>
      </c>
      <c r="G27" s="45">
        <v>13</v>
      </c>
      <c r="H27" s="45">
        <v>13</v>
      </c>
      <c r="I27" s="45">
        <v>13</v>
      </c>
      <c r="J27" s="45">
        <v>13</v>
      </c>
      <c r="K27" s="45">
        <v>13</v>
      </c>
      <c r="L27" s="45">
        <v>9</v>
      </c>
      <c r="M27" s="45">
        <v>9</v>
      </c>
      <c r="N27" s="45">
        <v>9</v>
      </c>
      <c r="O27" s="45">
        <v>12</v>
      </c>
      <c r="P27" s="45">
        <v>12</v>
      </c>
      <c r="Q27" s="45">
        <v>4</v>
      </c>
      <c r="R27" s="45">
        <v>4</v>
      </c>
      <c r="S27" s="45">
        <v>4</v>
      </c>
      <c r="T27" s="45">
        <v>12.5</v>
      </c>
      <c r="U27" s="45">
        <v>4.5</v>
      </c>
      <c r="V27" s="45">
        <v>4.5</v>
      </c>
      <c r="W27" s="45">
        <v>4.5</v>
      </c>
      <c r="X27" s="45">
        <v>4.5</v>
      </c>
      <c r="Y27" s="45">
        <v>4.5</v>
      </c>
      <c r="Z27" s="45">
        <v>25</v>
      </c>
      <c r="AA27" s="45">
        <v>17</v>
      </c>
      <c r="AB27" s="45">
        <v>17</v>
      </c>
      <c r="AC27" s="45">
        <v>25</v>
      </c>
      <c r="AD27" s="45">
        <v>25</v>
      </c>
      <c r="AE27" s="45">
        <v>7.5</v>
      </c>
      <c r="AF27" s="45">
        <v>4</v>
      </c>
      <c r="AG27" s="49">
        <v>25</v>
      </c>
      <c r="AH27" s="47">
        <f t="shared" si="2"/>
        <v>25</v>
      </c>
      <c r="AI27" s="48">
        <f t="shared" si="3"/>
        <v>4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19</v>
      </c>
      <c r="C31" s="45">
        <v>19</v>
      </c>
      <c r="D31" s="45">
        <v>19</v>
      </c>
      <c r="E31" s="45">
        <v>19</v>
      </c>
      <c r="F31" s="45">
        <v>19</v>
      </c>
      <c r="G31" s="45">
        <v>19</v>
      </c>
      <c r="H31" s="45">
        <v>19</v>
      </c>
      <c r="I31" s="45">
        <v>19</v>
      </c>
      <c r="J31" s="45">
        <v>19</v>
      </c>
      <c r="K31" s="45">
        <v>19</v>
      </c>
      <c r="L31" s="45">
        <v>19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19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19</v>
      </c>
      <c r="C32" s="45">
        <v>19</v>
      </c>
      <c r="D32" s="45">
        <v>19</v>
      </c>
      <c r="E32" s="45">
        <v>19</v>
      </c>
      <c r="F32" s="45">
        <v>19</v>
      </c>
      <c r="G32" s="45">
        <v>19</v>
      </c>
      <c r="H32" s="45">
        <v>19</v>
      </c>
      <c r="I32" s="45">
        <v>19</v>
      </c>
      <c r="J32" s="45">
        <v>19</v>
      </c>
      <c r="K32" s="45">
        <v>19</v>
      </c>
      <c r="L32" s="45">
        <v>19</v>
      </c>
      <c r="M32" s="45">
        <v>20</v>
      </c>
      <c r="N32" s="45">
        <v>20</v>
      </c>
      <c r="O32" s="45">
        <v>20</v>
      </c>
      <c r="P32" s="45">
        <v>20</v>
      </c>
      <c r="Q32" s="45">
        <v>20</v>
      </c>
      <c r="R32" s="45">
        <v>20</v>
      </c>
      <c r="S32" s="45">
        <v>20</v>
      </c>
      <c r="T32" s="45">
        <v>20</v>
      </c>
      <c r="U32" s="45">
        <v>20</v>
      </c>
      <c r="V32" s="45">
        <v>20</v>
      </c>
      <c r="W32" s="45">
        <v>20</v>
      </c>
      <c r="X32" s="45">
        <v>20</v>
      </c>
      <c r="Y32" s="45">
        <v>20</v>
      </c>
      <c r="Z32" s="45">
        <v>20</v>
      </c>
      <c r="AA32" s="45">
        <v>20</v>
      </c>
      <c r="AB32" s="45">
        <v>20</v>
      </c>
      <c r="AC32" s="45">
        <v>20</v>
      </c>
      <c r="AD32" s="45">
        <v>20</v>
      </c>
      <c r="AE32" s="45">
        <v>20</v>
      </c>
      <c r="AF32" s="45">
        <v>20</v>
      </c>
      <c r="AG32" s="49">
        <v>22</v>
      </c>
      <c r="AH32" s="47">
        <f t="shared" si="2"/>
        <v>20</v>
      </c>
      <c r="AI32" s="48">
        <f t="shared" si="3"/>
        <v>19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10</v>
      </c>
      <c r="AA33" s="45">
        <v>10</v>
      </c>
      <c r="AB33" s="45">
        <v>10</v>
      </c>
      <c r="AC33" s="45">
        <v>10</v>
      </c>
      <c r="AD33" s="45">
        <v>10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0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9</v>
      </c>
      <c r="AA34" s="45">
        <v>9</v>
      </c>
      <c r="AB34" s="45">
        <v>9</v>
      </c>
      <c r="AC34" s="45">
        <v>9</v>
      </c>
      <c r="AD34" s="45">
        <v>9</v>
      </c>
      <c r="AE34" s="45">
        <v>4</v>
      </c>
      <c r="AF34" s="45">
        <v>4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6</v>
      </c>
      <c r="E39" s="45">
        <v>6</v>
      </c>
      <c r="F39" s="45">
        <v>6</v>
      </c>
      <c r="G39" s="45">
        <v>6</v>
      </c>
      <c r="H39" s="45">
        <v>6</v>
      </c>
      <c r="I39" s="45">
        <v>6</v>
      </c>
      <c r="J39" s="45">
        <v>12</v>
      </c>
      <c r="K39" s="45">
        <v>12</v>
      </c>
      <c r="L39" s="45">
        <v>6</v>
      </c>
      <c r="M39" s="45">
        <v>6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2</v>
      </c>
      <c r="V39" s="45">
        <v>2</v>
      </c>
      <c r="W39" s="45">
        <v>2</v>
      </c>
      <c r="X39" s="45">
        <v>2</v>
      </c>
      <c r="Y39" s="45">
        <v>2</v>
      </c>
      <c r="Z39" s="45">
        <v>12</v>
      </c>
      <c r="AA39" s="45">
        <v>8</v>
      </c>
      <c r="AB39" s="45">
        <v>8</v>
      </c>
      <c r="AC39" s="45">
        <v>8</v>
      </c>
      <c r="AD39" s="45">
        <v>8</v>
      </c>
      <c r="AE39" s="45">
        <v>3.6</v>
      </c>
      <c r="AF39" s="45">
        <v>2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4.0999999999999996</v>
      </c>
      <c r="C40" s="45">
        <v>4.0999999999999996</v>
      </c>
      <c r="D40" s="45">
        <v>4.0999999999999996</v>
      </c>
      <c r="E40" s="45">
        <v>4.0999999999999996</v>
      </c>
      <c r="F40" s="45">
        <v>4.0999999999999996</v>
      </c>
      <c r="G40" s="45">
        <v>4.0999999999999996</v>
      </c>
      <c r="H40" s="45">
        <v>4.0999999999999996</v>
      </c>
      <c r="I40" s="45">
        <v>4.0999999999999996</v>
      </c>
      <c r="J40" s="45">
        <v>4.0999999999999996</v>
      </c>
      <c r="K40" s="45">
        <v>4.0999999999999996</v>
      </c>
      <c r="L40" s="45">
        <v>4.0999999999999996</v>
      </c>
      <c r="M40" s="45">
        <v>4.0999999999999996</v>
      </c>
      <c r="N40" s="45">
        <v>4.0999999999999996</v>
      </c>
      <c r="O40" s="45">
        <v>4.0999999999999996</v>
      </c>
      <c r="P40" s="45">
        <v>4.0999999999999996</v>
      </c>
      <c r="Q40" s="45">
        <v>4.0999999999999996</v>
      </c>
      <c r="R40" s="45">
        <v>4.0999999999999996</v>
      </c>
      <c r="S40" s="45">
        <v>4.0999999999999996</v>
      </c>
      <c r="T40" s="45">
        <v>4.0999999999999996</v>
      </c>
      <c r="U40" s="45">
        <v>4.0999999999999996</v>
      </c>
      <c r="V40" s="45">
        <v>4.0999999999999996</v>
      </c>
      <c r="W40" s="45">
        <v>4.0999999999999996</v>
      </c>
      <c r="X40" s="45">
        <v>4.0999999999999996</v>
      </c>
      <c r="Y40" s="45">
        <v>4.0999999999999996</v>
      </c>
      <c r="Z40" s="45">
        <v>7.9</v>
      </c>
      <c r="AA40" s="45">
        <v>7.9</v>
      </c>
      <c r="AB40" s="45">
        <v>7.9</v>
      </c>
      <c r="AC40" s="45">
        <v>7.9</v>
      </c>
      <c r="AD40" s="45">
        <v>7.9</v>
      </c>
      <c r="AE40" s="45">
        <v>7.9</v>
      </c>
      <c r="AF40" s="45">
        <v>7.9</v>
      </c>
      <c r="AG40" s="49">
        <v>12</v>
      </c>
      <c r="AH40" s="47">
        <f t="shared" si="2"/>
        <v>7.9</v>
      </c>
      <c r="AI40" s="48">
        <f t="shared" si="3"/>
        <v>4.0999999999999996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52">
        <v>22</v>
      </c>
      <c r="AH42" s="47">
        <f t="shared" si="2"/>
        <v>0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>
        <v>10</v>
      </c>
      <c r="K44" s="45">
        <v>10</v>
      </c>
      <c r="L44" s="45">
        <v>10</v>
      </c>
      <c r="M44" s="45">
        <v>10</v>
      </c>
      <c r="N44" s="45">
        <v>10</v>
      </c>
      <c r="O44" s="45">
        <v>10</v>
      </c>
      <c r="P44" s="45">
        <v>10</v>
      </c>
      <c r="Q44" s="45">
        <v>10</v>
      </c>
      <c r="R44" s="45">
        <v>10</v>
      </c>
      <c r="S44" s="45">
        <v>10</v>
      </c>
      <c r="T44" s="45">
        <v>10</v>
      </c>
      <c r="U44" s="45">
        <v>10</v>
      </c>
      <c r="V44" s="45">
        <v>10</v>
      </c>
      <c r="W44" s="45">
        <v>10</v>
      </c>
      <c r="X44" s="45">
        <v>10</v>
      </c>
      <c r="Y44" s="45">
        <v>10</v>
      </c>
      <c r="Z44" s="45">
        <v>10</v>
      </c>
      <c r="AA44" s="45">
        <v>10</v>
      </c>
      <c r="AB44" s="45">
        <v>10</v>
      </c>
      <c r="AC44" s="45">
        <v>10</v>
      </c>
      <c r="AD44" s="45">
        <v>10</v>
      </c>
      <c r="AE44" s="45">
        <v>10</v>
      </c>
      <c r="AF44" s="45">
        <v>10</v>
      </c>
      <c r="AG44" s="54">
        <v>11</v>
      </c>
      <c r="AH44" s="47">
        <f t="shared" si="2"/>
        <v>10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83.5</v>
      </c>
      <c r="C49" s="56">
        <v>83.5</v>
      </c>
      <c r="D49" s="56">
        <v>83.5</v>
      </c>
      <c r="E49" s="56">
        <v>83.5</v>
      </c>
      <c r="F49" s="56">
        <v>83.5</v>
      </c>
      <c r="G49" s="56">
        <v>83.5</v>
      </c>
      <c r="H49" s="56">
        <v>83.5</v>
      </c>
      <c r="I49" s="56">
        <v>83.5</v>
      </c>
      <c r="J49" s="56">
        <v>83.5</v>
      </c>
      <c r="K49" s="56">
        <v>83.5</v>
      </c>
      <c r="L49" s="56">
        <v>83.5</v>
      </c>
      <c r="M49" s="56">
        <v>91</v>
      </c>
      <c r="N49" s="56">
        <f>4.6+87</f>
        <v>91.6</v>
      </c>
      <c r="O49" s="56">
        <f>4.6+87</f>
        <v>91.6</v>
      </c>
      <c r="P49" s="56">
        <f>10.1+79</f>
        <v>89.1</v>
      </c>
      <c r="Q49" s="56">
        <f>8.8+87.2</f>
        <v>96</v>
      </c>
      <c r="R49" s="56">
        <f>8.8+87.2</f>
        <v>96</v>
      </c>
      <c r="S49" s="58">
        <v>103.1</v>
      </c>
      <c r="T49" s="58">
        <v>101.7</v>
      </c>
      <c r="U49" s="58">
        <v>98.3</v>
      </c>
      <c r="V49" s="58">
        <v>104</v>
      </c>
      <c r="W49" s="58">
        <v>104</v>
      </c>
      <c r="X49" s="58">
        <v>104</v>
      </c>
      <c r="Y49" s="56">
        <v>105</v>
      </c>
      <c r="Z49" s="56">
        <v>102.5</v>
      </c>
      <c r="AA49" s="56">
        <v>102.5</v>
      </c>
      <c r="AB49" s="56">
        <f>78.9+25.3</f>
        <v>104.2</v>
      </c>
      <c r="AC49" s="56">
        <f>78.4+25.2</f>
        <v>103.60000000000001</v>
      </c>
      <c r="AD49" s="56">
        <f>24.7+76.2</f>
        <v>100.9</v>
      </c>
      <c r="AE49" s="56">
        <f>25.7+79.2</f>
        <v>104.9</v>
      </c>
      <c r="AF49" s="56">
        <f>25.5+77.7</f>
        <v>103.2</v>
      </c>
      <c r="AG49" s="54">
        <v>240</v>
      </c>
      <c r="AH49" s="47">
        <f t="shared" si="2"/>
        <v>105</v>
      </c>
      <c r="AI49" s="48">
        <f t="shared" si="3"/>
        <v>83.5</v>
      </c>
      <c r="AK49" s="50"/>
    </row>
    <row r="50" spans="1:41" ht="15.75" thickBot="1" x14ac:dyDescent="0.3">
      <c r="A50" s="59" t="s">
        <v>58</v>
      </c>
      <c r="B50" s="60">
        <v>1067</v>
      </c>
      <c r="C50" s="60">
        <f t="shared" ref="C50:AD50" si="4">SUM(C11:C48)</f>
        <v>1066.5</v>
      </c>
      <c r="D50" s="60">
        <f t="shared" si="4"/>
        <v>1051.5</v>
      </c>
      <c r="E50" s="60">
        <f t="shared" si="4"/>
        <v>1058.5</v>
      </c>
      <c r="F50" s="60">
        <f t="shared" si="4"/>
        <v>1058.5</v>
      </c>
      <c r="G50" s="60">
        <f t="shared" si="4"/>
        <v>1058.5</v>
      </c>
      <c r="H50" s="60">
        <f t="shared" si="4"/>
        <v>1058.5</v>
      </c>
      <c r="I50" s="60">
        <f t="shared" si="4"/>
        <v>1058.5</v>
      </c>
      <c r="J50" s="60">
        <f t="shared" si="4"/>
        <v>1064.5</v>
      </c>
      <c r="K50" s="60">
        <f t="shared" si="4"/>
        <v>1089</v>
      </c>
      <c r="L50" s="60">
        <f t="shared" si="4"/>
        <v>1059.5</v>
      </c>
      <c r="M50" s="60">
        <f t="shared" si="4"/>
        <v>1064.5</v>
      </c>
      <c r="N50" s="60">
        <f t="shared" si="4"/>
        <v>1029.5</v>
      </c>
      <c r="O50" s="60">
        <f t="shared" si="4"/>
        <v>1039.9000000000001</v>
      </c>
      <c r="P50" s="60">
        <f t="shared" si="4"/>
        <v>1043.6999999999998</v>
      </c>
      <c r="Q50" s="60">
        <f t="shared" si="4"/>
        <v>1005.1999999999999</v>
      </c>
      <c r="R50" s="60">
        <f t="shared" si="4"/>
        <v>1012.4</v>
      </c>
      <c r="S50" s="60">
        <f t="shared" si="4"/>
        <v>1012.5</v>
      </c>
      <c r="T50" s="60">
        <f t="shared" si="4"/>
        <v>1038</v>
      </c>
      <c r="U50" s="60">
        <f t="shared" si="4"/>
        <v>1006.4</v>
      </c>
      <c r="V50" s="60">
        <f t="shared" si="4"/>
        <v>1006.4</v>
      </c>
      <c r="W50" s="60">
        <f t="shared" si="4"/>
        <v>1006.4</v>
      </c>
      <c r="X50" s="60">
        <f t="shared" si="4"/>
        <v>1003.1999999999999</v>
      </c>
      <c r="Y50" s="60">
        <f t="shared" si="4"/>
        <v>973.69999999999993</v>
      </c>
      <c r="Z50" s="60">
        <f t="shared" si="4"/>
        <v>1079.4000000000001</v>
      </c>
      <c r="AA50" s="60">
        <f t="shared" si="4"/>
        <v>1086.6599999999999</v>
      </c>
      <c r="AB50" s="60">
        <f t="shared" si="4"/>
        <v>1066</v>
      </c>
      <c r="AC50" s="60">
        <f t="shared" si="4"/>
        <v>1087</v>
      </c>
      <c r="AD50" s="60">
        <f t="shared" si="4"/>
        <v>1086.3000000000002</v>
      </c>
      <c r="AE50" s="60">
        <f>SUM(AE11:AE48)</f>
        <v>1062.8000000000002</v>
      </c>
      <c r="AF50" s="60">
        <f>SUM(AF11:AF48)</f>
        <v>1041</v>
      </c>
      <c r="AG50" s="61">
        <f>SUM(AG13:AG48)</f>
        <v>922.14</v>
      </c>
      <c r="AH50" s="47">
        <f t="shared" si="2"/>
        <v>1089</v>
      </c>
      <c r="AI50" s="48">
        <f t="shared" si="3"/>
        <v>973.69999999999993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175">
        <v>380</v>
      </c>
      <c r="O51" s="175">
        <v>380</v>
      </c>
      <c r="P51" s="175">
        <v>380</v>
      </c>
      <c r="Q51" s="175">
        <v>380</v>
      </c>
      <c r="R51" s="175">
        <v>380</v>
      </c>
      <c r="S51" s="175">
        <v>380</v>
      </c>
      <c r="T51" s="175">
        <v>380</v>
      </c>
      <c r="U51" s="175">
        <v>380</v>
      </c>
      <c r="V51" s="175">
        <v>380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20.100000000000001</v>
      </c>
      <c r="C53" s="66">
        <v>20.100000000000001</v>
      </c>
      <c r="D53" s="66">
        <v>20.100000000000001</v>
      </c>
      <c r="E53" s="66">
        <v>20.100000000000001</v>
      </c>
      <c r="F53" s="66">
        <v>20.100000000000001</v>
      </c>
      <c r="G53" s="66">
        <v>20.100000000000001</v>
      </c>
      <c r="H53" s="66">
        <v>20.100000000000001</v>
      </c>
      <c r="I53" s="66">
        <v>20.100000000000001</v>
      </c>
      <c r="J53" s="66">
        <v>20.100000000000001</v>
      </c>
      <c r="K53" s="66">
        <v>20.100000000000001</v>
      </c>
      <c r="L53" s="66">
        <v>20.100000000000001</v>
      </c>
      <c r="M53" s="66">
        <v>22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v>536.1</v>
      </c>
      <c r="C54" s="60">
        <f t="shared" ref="C54:AG54" si="5">SUM(C51:C53)</f>
        <v>536.1</v>
      </c>
      <c r="D54" s="60">
        <f t="shared" si="5"/>
        <v>536.1</v>
      </c>
      <c r="E54" s="60">
        <f t="shared" si="5"/>
        <v>536.1</v>
      </c>
      <c r="F54" s="60">
        <f t="shared" si="5"/>
        <v>536.1</v>
      </c>
      <c r="G54" s="60">
        <f t="shared" si="5"/>
        <v>536.1</v>
      </c>
      <c r="H54" s="60">
        <f t="shared" si="5"/>
        <v>536.1</v>
      </c>
      <c r="I54" s="60">
        <f t="shared" si="5"/>
        <v>536.1</v>
      </c>
      <c r="J54" s="60">
        <f t="shared" si="5"/>
        <v>536.1</v>
      </c>
      <c r="K54" s="60">
        <f t="shared" si="5"/>
        <v>536.1</v>
      </c>
      <c r="L54" s="60">
        <f t="shared" si="5"/>
        <v>536.1</v>
      </c>
      <c r="M54" s="60">
        <f t="shared" si="5"/>
        <v>538</v>
      </c>
      <c r="N54" s="60">
        <f t="shared" si="5"/>
        <v>462.4</v>
      </c>
      <c r="O54" s="60">
        <f t="shared" si="5"/>
        <v>462.4</v>
      </c>
      <c r="P54" s="60">
        <f t="shared" si="5"/>
        <v>462.4</v>
      </c>
      <c r="Q54" s="60">
        <f t="shared" si="5"/>
        <v>462.4</v>
      </c>
      <c r="R54" s="60">
        <f t="shared" si="5"/>
        <v>462.4</v>
      </c>
      <c r="S54" s="60">
        <f t="shared" si="5"/>
        <v>462.4</v>
      </c>
      <c r="T54" s="60">
        <f t="shared" si="5"/>
        <v>462.4</v>
      </c>
      <c r="U54" s="60">
        <f t="shared" si="5"/>
        <v>462.4</v>
      </c>
      <c r="V54" s="60">
        <f t="shared" si="5"/>
        <v>462.4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 t="shared" si="5"/>
        <v>538.5</v>
      </c>
      <c r="AC54" s="60">
        <f t="shared" si="5"/>
        <v>538.5</v>
      </c>
      <c r="AD54" s="60">
        <f t="shared" si="5"/>
        <v>538.5</v>
      </c>
      <c r="AE54" s="60">
        <f>SUM(AE51:AE53)</f>
        <v>538.5</v>
      </c>
      <c r="AF54" s="60">
        <f>SUM(AF51:AF53)</f>
        <v>538.5</v>
      </c>
      <c r="AG54" s="61">
        <f t="shared" si="5"/>
        <v>538.1</v>
      </c>
      <c r="AH54" s="47">
        <f t="shared" si="2"/>
        <v>538.5</v>
      </c>
      <c r="AI54" s="48">
        <f t="shared" si="3"/>
        <v>462.4</v>
      </c>
      <c r="AK54" s="50"/>
    </row>
    <row r="55" spans="1:41" x14ac:dyDescent="0.25">
      <c r="A55" s="44" t="s">
        <v>63</v>
      </c>
      <c r="B55" s="45">
        <v>131.9</v>
      </c>
      <c r="C55" s="45">
        <v>131.9</v>
      </c>
      <c r="D55" s="45">
        <v>131.9</v>
      </c>
      <c r="E55" s="45">
        <v>131.9</v>
      </c>
      <c r="F55" s="45">
        <v>131.9</v>
      </c>
      <c r="G55" s="45">
        <v>131.9</v>
      </c>
      <c r="H55" s="45">
        <v>131.9</v>
      </c>
      <c r="I55" s="45">
        <v>131.9</v>
      </c>
      <c r="J55" s="45">
        <v>131.9</v>
      </c>
      <c r="K55" s="45">
        <v>131.9</v>
      </c>
      <c r="L55" s="45">
        <v>126</v>
      </c>
      <c r="M55" s="45">
        <v>126.5</v>
      </c>
      <c r="N55" s="45">
        <v>126.5</v>
      </c>
      <c r="O55" s="45">
        <v>132.80000000000001</v>
      </c>
      <c r="P55" s="45">
        <v>121.6</v>
      </c>
      <c r="Q55" s="45">
        <v>123.6</v>
      </c>
      <c r="R55" s="45">
        <v>123.6</v>
      </c>
      <c r="S55" s="45">
        <v>132.30000000000001</v>
      </c>
      <c r="T55" s="45">
        <v>134</v>
      </c>
      <c r="U55" s="45">
        <v>131</v>
      </c>
      <c r="V55" s="45">
        <v>121.4</v>
      </c>
      <c r="W55" s="45">
        <v>121.4</v>
      </c>
      <c r="X55" s="45">
        <v>121.4</v>
      </c>
      <c r="Y55" s="45">
        <v>131.4</v>
      </c>
      <c r="Z55" s="45">
        <v>131.4</v>
      </c>
      <c r="AA55" s="45">
        <v>134</v>
      </c>
      <c r="AB55" s="45">
        <v>133.30000000000001</v>
      </c>
      <c r="AC55" s="45">
        <v>133.1</v>
      </c>
      <c r="AD55" s="45">
        <v>133.6</v>
      </c>
      <c r="AE55" s="45">
        <v>133.80000000000001</v>
      </c>
      <c r="AF55" s="45">
        <v>134.1</v>
      </c>
      <c r="AG55" s="51">
        <v>144</v>
      </c>
      <c r="AH55" s="47">
        <f t="shared" si="2"/>
        <v>134.1</v>
      </c>
      <c r="AI55" s="48">
        <f t="shared" si="3"/>
        <v>121.4</v>
      </c>
      <c r="AK55" s="50"/>
    </row>
    <row r="56" spans="1:41" x14ac:dyDescent="0.25">
      <c r="A56" s="53" t="s">
        <v>64</v>
      </c>
      <c r="B56" s="64">
        <v>0</v>
      </c>
      <c r="C56" s="64">
        <v>22</v>
      </c>
      <c r="D56" s="64">
        <v>22</v>
      </c>
      <c r="E56" s="64">
        <v>50</v>
      </c>
      <c r="F56" s="64">
        <v>55</v>
      </c>
      <c r="G56" s="64">
        <v>60</v>
      </c>
      <c r="H56" s="64">
        <v>70</v>
      </c>
      <c r="I56" s="64">
        <v>70</v>
      </c>
      <c r="J56" s="64">
        <v>70</v>
      </c>
      <c r="K56" s="64">
        <v>70</v>
      </c>
      <c r="L56" s="64">
        <v>70</v>
      </c>
      <c r="M56" s="64">
        <v>70</v>
      </c>
      <c r="N56" s="64">
        <v>70</v>
      </c>
      <c r="O56" s="64">
        <v>65.7</v>
      </c>
      <c r="P56" s="64">
        <v>65.7</v>
      </c>
      <c r="Q56" s="64">
        <v>64.099999999999994</v>
      </c>
      <c r="R56" s="64">
        <v>69.5</v>
      </c>
      <c r="S56" s="64">
        <v>69.5</v>
      </c>
      <c r="T56" s="64">
        <v>69.5</v>
      </c>
      <c r="U56" s="64">
        <v>59.3</v>
      </c>
      <c r="V56" s="64">
        <v>59.3</v>
      </c>
      <c r="W56" s="64">
        <v>59.3</v>
      </c>
      <c r="X56" s="64">
        <v>48.5</v>
      </c>
      <c r="Y56" s="64">
        <v>58.6</v>
      </c>
      <c r="Z56" s="64">
        <v>58.6</v>
      </c>
      <c r="AA56" s="45">
        <v>69.8</v>
      </c>
      <c r="AB56" s="45">
        <v>62.3</v>
      </c>
      <c r="AC56" s="45">
        <v>63.1</v>
      </c>
      <c r="AD56" s="64">
        <v>64.599999999999994</v>
      </c>
      <c r="AE56" s="64">
        <v>64.400000000000006</v>
      </c>
      <c r="AF56" s="64">
        <v>63.5</v>
      </c>
      <c r="AG56" s="54">
        <v>70</v>
      </c>
      <c r="AH56" s="47">
        <f t="shared" si="2"/>
        <v>70</v>
      </c>
      <c r="AI56" s="48">
        <f t="shared" si="3"/>
        <v>0</v>
      </c>
      <c r="AK56" s="50"/>
    </row>
    <row r="57" spans="1:41" x14ac:dyDescent="0.25">
      <c r="A57" s="53" t="s">
        <v>65</v>
      </c>
      <c r="B57" s="64">
        <v>64.3</v>
      </c>
      <c r="C57" s="64">
        <v>64.3</v>
      </c>
      <c r="D57" s="64">
        <v>64.3</v>
      </c>
      <c r="E57" s="64">
        <v>64.3</v>
      </c>
      <c r="F57" s="64">
        <v>50</v>
      </c>
      <c r="G57" s="64">
        <v>60</v>
      </c>
      <c r="H57" s="64">
        <v>62.9</v>
      </c>
      <c r="I57" s="64">
        <v>62.9</v>
      </c>
      <c r="J57" s="64">
        <v>62.9</v>
      </c>
      <c r="K57" s="64">
        <v>62.9</v>
      </c>
      <c r="L57" s="64">
        <v>62.9</v>
      </c>
      <c r="M57" s="64">
        <v>59.2</v>
      </c>
      <c r="N57" s="64">
        <v>63.6</v>
      </c>
      <c r="O57" s="64">
        <v>60</v>
      </c>
      <c r="P57" s="64">
        <v>60</v>
      </c>
      <c r="Q57" s="64">
        <v>64.099999999999994</v>
      </c>
      <c r="R57" s="64">
        <v>64.599999999999994</v>
      </c>
      <c r="S57" s="64">
        <v>64.599999999999994</v>
      </c>
      <c r="T57" s="64">
        <v>64.599999999999994</v>
      </c>
      <c r="U57" s="64">
        <v>52.8</v>
      </c>
      <c r="V57" s="64">
        <v>55.8</v>
      </c>
      <c r="W57" s="64">
        <v>55.8</v>
      </c>
      <c r="X57" s="64">
        <v>48.6</v>
      </c>
      <c r="Y57" s="64">
        <v>64.2</v>
      </c>
      <c r="Z57" s="64">
        <v>64.2</v>
      </c>
      <c r="AA57" s="45">
        <v>64.2</v>
      </c>
      <c r="AB57" s="45">
        <v>64.2</v>
      </c>
      <c r="AC57" s="45">
        <v>64.599999999999994</v>
      </c>
      <c r="AD57" s="64">
        <v>68.7</v>
      </c>
      <c r="AE57" s="64">
        <v>64.5</v>
      </c>
      <c r="AF57" s="64">
        <v>64.099999999999994</v>
      </c>
      <c r="AG57" s="54">
        <v>69</v>
      </c>
      <c r="AH57" s="47">
        <f t="shared" si="2"/>
        <v>68.7</v>
      </c>
      <c r="AI57" s="48">
        <f t="shared" si="3"/>
        <v>48.6</v>
      </c>
      <c r="AK57" s="50"/>
    </row>
    <row r="58" spans="1:41" x14ac:dyDescent="0.25">
      <c r="A58" s="53" t="s">
        <v>66</v>
      </c>
      <c r="B58" s="64">
        <v>60</v>
      </c>
      <c r="C58" s="64">
        <v>60</v>
      </c>
      <c r="D58" s="64">
        <v>60</v>
      </c>
      <c r="E58" s="64">
        <v>40</v>
      </c>
      <c r="F58" s="64">
        <v>40</v>
      </c>
      <c r="G58" s="64">
        <v>60</v>
      </c>
      <c r="H58" s="64">
        <v>50</v>
      </c>
      <c r="I58" s="64">
        <v>50</v>
      </c>
      <c r="J58" s="64">
        <v>50</v>
      </c>
      <c r="K58" s="64">
        <v>60</v>
      </c>
      <c r="L58" s="64">
        <v>60</v>
      </c>
      <c r="M58" s="64">
        <v>42</v>
      </c>
      <c r="N58" s="64">
        <v>61.2</v>
      </c>
      <c r="O58" s="64">
        <v>61.4</v>
      </c>
      <c r="P58" s="64">
        <v>61.4</v>
      </c>
      <c r="Q58" s="64">
        <v>61.4</v>
      </c>
      <c r="R58" s="64">
        <v>61.4</v>
      </c>
      <c r="S58" s="64">
        <v>61.4</v>
      </c>
      <c r="T58" s="64">
        <v>61.4</v>
      </c>
      <c r="U58" s="64">
        <v>53.5</v>
      </c>
      <c r="V58" s="64">
        <v>53.5</v>
      </c>
      <c r="W58" s="64">
        <v>53.5</v>
      </c>
      <c r="X58" s="64">
        <v>44.6</v>
      </c>
      <c r="Y58" s="64">
        <v>63</v>
      </c>
      <c r="Z58" s="64">
        <v>63</v>
      </c>
      <c r="AA58" s="45">
        <v>63</v>
      </c>
      <c r="AB58" s="45">
        <v>60.4</v>
      </c>
      <c r="AC58" s="45">
        <v>60.4</v>
      </c>
      <c r="AD58" s="64">
        <v>60</v>
      </c>
      <c r="AE58" s="64">
        <v>55.2</v>
      </c>
      <c r="AF58" s="64">
        <v>61.4</v>
      </c>
      <c r="AG58" s="54">
        <v>60</v>
      </c>
      <c r="AH58" s="47">
        <f t="shared" si="2"/>
        <v>63</v>
      </c>
      <c r="AI58" s="48">
        <f t="shared" si="3"/>
        <v>40</v>
      </c>
      <c r="AK58" s="50"/>
    </row>
    <row r="59" spans="1:41" x14ac:dyDescent="0.25">
      <c r="A59" s="53" t="s">
        <v>67</v>
      </c>
      <c r="B59" s="64">
        <v>0</v>
      </c>
      <c r="C59" s="64">
        <v>0</v>
      </c>
      <c r="D59" s="64">
        <v>0</v>
      </c>
      <c r="E59" s="64">
        <v>0</v>
      </c>
      <c r="F59" s="64">
        <v>0</v>
      </c>
      <c r="G59" s="64">
        <v>0</v>
      </c>
      <c r="H59" s="64">
        <v>0</v>
      </c>
      <c r="I59" s="64">
        <v>0</v>
      </c>
      <c r="J59" s="64">
        <v>0</v>
      </c>
      <c r="K59" s="64">
        <v>0</v>
      </c>
      <c r="L59" s="64">
        <v>0</v>
      </c>
      <c r="M59" s="64">
        <v>15</v>
      </c>
      <c r="N59" s="64">
        <v>15</v>
      </c>
      <c r="O59" s="64">
        <v>30</v>
      </c>
      <c r="P59" s="64">
        <v>15</v>
      </c>
      <c r="Q59" s="64">
        <v>15</v>
      </c>
      <c r="R59" s="64">
        <v>30</v>
      </c>
      <c r="S59" s="64">
        <v>30</v>
      </c>
      <c r="T59" s="64">
        <v>30</v>
      </c>
      <c r="U59" s="64">
        <v>30</v>
      </c>
      <c r="V59" s="64">
        <v>30</v>
      </c>
      <c r="W59" s="64">
        <v>30</v>
      </c>
      <c r="X59" s="64">
        <v>30</v>
      </c>
      <c r="Y59" s="64">
        <v>30</v>
      </c>
      <c r="Z59" s="64">
        <v>30</v>
      </c>
      <c r="AA59" s="45">
        <v>30</v>
      </c>
      <c r="AB59" s="45">
        <v>30</v>
      </c>
      <c r="AC59" s="45">
        <v>30</v>
      </c>
      <c r="AD59" s="64">
        <v>30</v>
      </c>
      <c r="AE59" s="64">
        <v>30</v>
      </c>
      <c r="AF59" s="64">
        <v>30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7.1</v>
      </c>
      <c r="N60" s="64">
        <v>12</v>
      </c>
      <c r="O60" s="64">
        <v>15</v>
      </c>
      <c r="P60" s="64">
        <v>15</v>
      </c>
      <c r="Q60" s="64">
        <v>15</v>
      </c>
      <c r="R60" s="64">
        <v>19.899999999999999</v>
      </c>
      <c r="S60" s="64">
        <v>16.7</v>
      </c>
      <c r="T60" s="64">
        <v>4.8</v>
      </c>
      <c r="U60" s="64">
        <v>8</v>
      </c>
      <c r="V60" s="64">
        <v>0.8</v>
      </c>
      <c r="W60" s="64">
        <v>0.4</v>
      </c>
      <c r="X60" s="64">
        <v>0.4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19.899999999999999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16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5.5</v>
      </c>
      <c r="C62" s="64">
        <v>5.5</v>
      </c>
      <c r="D62" s="64">
        <v>5.5</v>
      </c>
      <c r="E62" s="64">
        <v>5.5</v>
      </c>
      <c r="F62" s="64">
        <v>5.5</v>
      </c>
      <c r="G62" s="64">
        <v>5.5</v>
      </c>
      <c r="H62" s="64">
        <v>5.5</v>
      </c>
      <c r="I62" s="64">
        <v>5.5</v>
      </c>
      <c r="J62" s="64">
        <v>5.5</v>
      </c>
      <c r="K62" s="64">
        <v>5.5</v>
      </c>
      <c r="L62" s="64">
        <v>5.5</v>
      </c>
      <c r="M62" s="64">
        <v>4</v>
      </c>
      <c r="N62" s="64">
        <v>4</v>
      </c>
      <c r="O62" s="64">
        <v>4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5.5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</v>
      </c>
      <c r="C63" s="64">
        <v>8</v>
      </c>
      <c r="D63" s="64">
        <v>8</v>
      </c>
      <c r="E63" s="64">
        <v>8</v>
      </c>
      <c r="F63" s="64">
        <v>8</v>
      </c>
      <c r="G63" s="64">
        <v>8</v>
      </c>
      <c r="H63" s="64">
        <v>8</v>
      </c>
      <c r="I63" s="64">
        <v>8</v>
      </c>
      <c r="J63" s="64">
        <v>8</v>
      </c>
      <c r="K63" s="64">
        <v>8</v>
      </c>
      <c r="L63" s="64">
        <v>8</v>
      </c>
      <c r="M63" s="64">
        <v>8</v>
      </c>
      <c r="N63" s="64">
        <v>8</v>
      </c>
      <c r="O63" s="64">
        <v>8.6999999999999993</v>
      </c>
      <c r="P63" s="64">
        <v>8.6999999999999993</v>
      </c>
      <c r="Q63" s="64">
        <v>8.6999999999999993</v>
      </c>
      <c r="R63" s="64">
        <v>8.6999999999999993</v>
      </c>
      <c r="S63" s="64">
        <v>9</v>
      </c>
      <c r="T63" s="64">
        <v>9</v>
      </c>
      <c r="U63" s="64">
        <v>9</v>
      </c>
      <c r="V63" s="64">
        <v>9</v>
      </c>
      <c r="W63" s="64">
        <v>9</v>
      </c>
      <c r="X63" s="64">
        <v>9</v>
      </c>
      <c r="Y63" s="64">
        <v>9</v>
      </c>
      <c r="Z63" s="64">
        <v>9</v>
      </c>
      <c r="AA63" s="64">
        <v>9</v>
      </c>
      <c r="AB63" s="64">
        <v>9</v>
      </c>
      <c r="AC63" s="64">
        <v>9</v>
      </c>
      <c r="AD63" s="64">
        <v>9</v>
      </c>
      <c r="AE63" s="64">
        <v>9</v>
      </c>
      <c r="AF63" s="64">
        <v>9</v>
      </c>
      <c r="AG63" s="54">
        <v>14.1</v>
      </c>
      <c r="AH63" s="47">
        <f t="shared" si="2"/>
        <v>9</v>
      </c>
      <c r="AI63" s="48">
        <f t="shared" si="3"/>
        <v>8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13.1</v>
      </c>
      <c r="C64" s="64">
        <v>13.1</v>
      </c>
      <c r="D64" s="64">
        <v>13.1</v>
      </c>
      <c r="E64" s="64">
        <v>13.1</v>
      </c>
      <c r="F64" s="64">
        <v>13.1</v>
      </c>
      <c r="G64" s="64">
        <v>13.1</v>
      </c>
      <c r="H64" s="64">
        <v>13.1</v>
      </c>
      <c r="I64" s="64">
        <v>13.1</v>
      </c>
      <c r="J64" s="64">
        <v>13.1</v>
      </c>
      <c r="K64" s="64">
        <v>13.1</v>
      </c>
      <c r="L64" s="64">
        <v>13.1</v>
      </c>
      <c r="M64" s="64">
        <v>9</v>
      </c>
      <c r="N64" s="64">
        <v>9</v>
      </c>
      <c r="O64" s="64">
        <v>13.8</v>
      </c>
      <c r="P64" s="64">
        <v>10</v>
      </c>
      <c r="Q64" s="64">
        <v>10</v>
      </c>
      <c r="R64" s="64">
        <v>10</v>
      </c>
      <c r="S64" s="64">
        <v>10</v>
      </c>
      <c r="T64" s="64">
        <v>4.5999999999999996</v>
      </c>
      <c r="U64" s="64">
        <v>13.8</v>
      </c>
      <c r="V64" s="64">
        <v>13.8</v>
      </c>
      <c r="W64" s="64">
        <v>13.8</v>
      </c>
      <c r="X64" s="64">
        <v>13.8</v>
      </c>
      <c r="Y64" s="64">
        <v>13.8</v>
      </c>
      <c r="Z64" s="64">
        <v>13.8</v>
      </c>
      <c r="AA64" s="64">
        <v>13.8</v>
      </c>
      <c r="AB64" s="64">
        <v>13.8</v>
      </c>
      <c r="AC64" s="64">
        <v>13.8</v>
      </c>
      <c r="AD64" s="64">
        <v>13.8</v>
      </c>
      <c r="AE64" s="64">
        <v>13.8</v>
      </c>
      <c r="AF64" s="64">
        <v>13.8</v>
      </c>
      <c r="AG64" s="54">
        <v>14</v>
      </c>
      <c r="AH64" s="47">
        <f t="shared" si="2"/>
        <v>13.8</v>
      </c>
      <c r="AI64" s="48">
        <f t="shared" si="3"/>
        <v>4.5999999999999996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419.04</v>
      </c>
      <c r="C68" s="60">
        <f t="shared" ref="C68:AG68" si="6">SUM(C55:C67)</f>
        <v>339.54</v>
      </c>
      <c r="D68" s="60">
        <f t="shared" si="6"/>
        <v>339.54</v>
      </c>
      <c r="E68" s="60">
        <f t="shared" si="6"/>
        <v>347.54</v>
      </c>
      <c r="F68" s="60">
        <f t="shared" si="6"/>
        <v>338.24</v>
      </c>
      <c r="G68" s="60">
        <f t="shared" si="6"/>
        <v>373.24</v>
      </c>
      <c r="H68" s="60">
        <f t="shared" si="6"/>
        <v>376.14000000000004</v>
      </c>
      <c r="I68" s="60">
        <f t="shared" si="6"/>
        <v>376.14000000000004</v>
      </c>
      <c r="J68" s="60">
        <f t="shared" si="6"/>
        <v>376.14000000000004</v>
      </c>
      <c r="K68" s="60">
        <f t="shared" si="6"/>
        <v>386.14000000000004</v>
      </c>
      <c r="L68" s="60">
        <f t="shared" si="6"/>
        <v>380.24</v>
      </c>
      <c r="M68" s="60">
        <f t="shared" si="6"/>
        <v>375.54</v>
      </c>
      <c r="N68" s="60">
        <f t="shared" si="6"/>
        <v>404.04</v>
      </c>
      <c r="O68" s="60">
        <f t="shared" si="6"/>
        <v>426.14</v>
      </c>
      <c r="P68" s="60">
        <f t="shared" si="6"/>
        <v>392.14</v>
      </c>
      <c r="Q68" s="60">
        <f t="shared" si="6"/>
        <v>396.64</v>
      </c>
      <c r="R68" s="60">
        <f t="shared" si="6"/>
        <v>422.43999999999994</v>
      </c>
      <c r="S68" s="60">
        <f t="shared" si="6"/>
        <v>428.23999999999995</v>
      </c>
      <c r="T68" s="60">
        <f t="shared" si="6"/>
        <v>412.64000000000004</v>
      </c>
      <c r="U68" s="60">
        <f t="shared" si="6"/>
        <v>392.14000000000004</v>
      </c>
      <c r="V68" s="60">
        <f t="shared" si="6"/>
        <v>378.34000000000003</v>
      </c>
      <c r="W68" s="60">
        <f t="shared" si="6"/>
        <v>377.94</v>
      </c>
      <c r="X68" s="60">
        <f t="shared" si="6"/>
        <v>351.04</v>
      </c>
      <c r="Y68" s="60">
        <f t="shared" si="6"/>
        <v>404.74</v>
      </c>
      <c r="Z68" s="60">
        <f t="shared" si="6"/>
        <v>404.74</v>
      </c>
      <c r="AA68" s="60">
        <f t="shared" si="6"/>
        <v>418.54</v>
      </c>
      <c r="AB68" s="60">
        <f t="shared" si="6"/>
        <v>412.34000000000003</v>
      </c>
      <c r="AC68" s="60">
        <f t="shared" si="6"/>
        <v>413.34</v>
      </c>
      <c r="AD68" s="60">
        <f t="shared" si="6"/>
        <v>418.04</v>
      </c>
      <c r="AE68" s="60">
        <f>SUM(AE55:AE67)</f>
        <v>409.04000000000008</v>
      </c>
      <c r="AF68" s="60">
        <f>SUM(AF55:AF67)</f>
        <v>414.24</v>
      </c>
      <c r="AG68" s="61">
        <f t="shared" si="6"/>
        <v>489.91</v>
      </c>
      <c r="AH68" s="47">
        <f t="shared" si="2"/>
        <v>428.23999999999995</v>
      </c>
      <c r="AI68" s="48">
        <f t="shared" si="3"/>
        <v>338.24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D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5</v>
      </c>
      <c r="C73" s="45">
        <v>-14</v>
      </c>
      <c r="D73" s="45">
        <v>-15</v>
      </c>
      <c r="E73" s="45">
        <v>-21</v>
      </c>
      <c r="F73" s="45">
        <v>-26</v>
      </c>
      <c r="G73" s="45">
        <v>-27</v>
      </c>
      <c r="H73" s="45">
        <v>-27</v>
      </c>
      <c r="I73" s="45">
        <v>-27</v>
      </c>
      <c r="J73" s="45">
        <v>-27</v>
      </c>
      <c r="K73" s="45">
        <v>-27</v>
      </c>
      <c r="L73" s="45">
        <v>-34.200000000000003</v>
      </c>
      <c r="M73" s="45">
        <v>-31.8</v>
      </c>
      <c r="N73" s="45">
        <v>-15.6</v>
      </c>
      <c r="O73" s="45">
        <v>-4.5</v>
      </c>
      <c r="P73" s="45">
        <v>-2.5</v>
      </c>
      <c r="Q73" s="45">
        <v>4.5</v>
      </c>
      <c r="R73" s="45">
        <v>6.6</v>
      </c>
      <c r="S73" s="45">
        <v>-13.6</v>
      </c>
      <c r="T73" s="45">
        <v>-11.1</v>
      </c>
      <c r="U73" s="45">
        <v>-6.4</v>
      </c>
      <c r="V73" s="45">
        <v>-25.5</v>
      </c>
      <c r="W73" s="45">
        <v>-5.2</v>
      </c>
      <c r="X73" s="45">
        <v>-7.9</v>
      </c>
      <c r="Y73" s="45">
        <v>0.9</v>
      </c>
      <c r="Z73" s="45">
        <v>-14.8</v>
      </c>
      <c r="AA73" s="45">
        <v>-18</v>
      </c>
      <c r="AB73" s="45">
        <v>18</v>
      </c>
      <c r="AC73" s="45">
        <v>19.5</v>
      </c>
      <c r="AD73" s="45">
        <v>12.4</v>
      </c>
      <c r="AE73" s="45">
        <v>18.3</v>
      </c>
      <c r="AF73" s="45">
        <v>6.6</v>
      </c>
      <c r="AG73" s="51"/>
      <c r="AH73" s="47">
        <f t="shared" si="2"/>
        <v>19.5</v>
      </c>
      <c r="AI73" s="48">
        <f t="shared" si="3"/>
        <v>-34.200000000000003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-280</v>
      </c>
      <c r="C75" s="64">
        <v>-300</v>
      </c>
      <c r="D75" s="64">
        <v>-296</v>
      </c>
      <c r="E75" s="64">
        <v>-296</v>
      </c>
      <c r="F75" s="64">
        <v>-296</v>
      </c>
      <c r="G75" s="64">
        <v>-296</v>
      </c>
      <c r="H75" s="64">
        <v>-296</v>
      </c>
      <c r="I75" s="64">
        <v>-400</v>
      </c>
      <c r="J75" s="64">
        <v>-420</v>
      </c>
      <c r="K75" s="64">
        <v>-430</v>
      </c>
      <c r="L75" s="64">
        <v>-330</v>
      </c>
      <c r="M75" s="64">
        <v>-377</v>
      </c>
      <c r="N75" s="64">
        <v>-254</v>
      </c>
      <c r="O75" s="64">
        <v>-240</v>
      </c>
      <c r="P75" s="64">
        <v>-217</v>
      </c>
      <c r="Q75" s="64">
        <v>-270.8</v>
      </c>
      <c r="R75" s="64">
        <v>-254.1</v>
      </c>
      <c r="S75" s="64">
        <v>-212</v>
      </c>
      <c r="T75" s="64">
        <v>-242</v>
      </c>
      <c r="U75" s="64">
        <v>-245</v>
      </c>
      <c r="V75" s="64">
        <v>-310.2</v>
      </c>
      <c r="W75" s="64">
        <v>-362</v>
      </c>
      <c r="X75" s="64">
        <v>-364.4</v>
      </c>
      <c r="Y75" s="64">
        <v>-326</v>
      </c>
      <c r="Z75" s="64">
        <v>-353</v>
      </c>
      <c r="AA75" s="64">
        <v>-287</v>
      </c>
      <c r="AB75" s="64">
        <v>-300.5</v>
      </c>
      <c r="AC75" s="64">
        <v>-302.8</v>
      </c>
      <c r="AD75" s="64">
        <v>-340</v>
      </c>
      <c r="AE75" s="64">
        <v>-330.7</v>
      </c>
      <c r="AF75" s="64">
        <v>-332.8</v>
      </c>
      <c r="AG75" s="74"/>
      <c r="AH75" s="47">
        <f t="shared" si="2"/>
        <v>-212</v>
      </c>
      <c r="AI75" s="48">
        <f t="shared" si="3"/>
        <v>-430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v>2</v>
      </c>
      <c r="C84" s="60">
        <f t="shared" ref="C84:AF84" si="10">SUMIF(C73:C83,"&gt;0")</f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4.5</v>
      </c>
      <c r="R84" s="60">
        <f t="shared" si="10"/>
        <v>6.6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0.9</v>
      </c>
      <c r="Z84" s="60">
        <f t="shared" si="10"/>
        <v>0</v>
      </c>
      <c r="AA84" s="60">
        <f t="shared" si="10"/>
        <v>0</v>
      </c>
      <c r="AB84" s="60">
        <f t="shared" si="10"/>
        <v>18</v>
      </c>
      <c r="AC84" s="60">
        <f t="shared" si="10"/>
        <v>19.5</v>
      </c>
      <c r="AD84" s="60">
        <f t="shared" si="10"/>
        <v>12.4</v>
      </c>
      <c r="AE84" s="60">
        <f t="shared" si="10"/>
        <v>18.3</v>
      </c>
      <c r="AF84" s="60">
        <f t="shared" si="10"/>
        <v>6.6</v>
      </c>
      <c r="AG84" s="87">
        <f>SUM(AG73:AG83)</f>
        <v>0</v>
      </c>
      <c r="AH84" s="47">
        <f t="shared" si="8"/>
        <v>19.5</v>
      </c>
      <c r="AI84" s="48">
        <f t="shared" si="9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2024.1399999999999</v>
      </c>
      <c r="C89" s="94">
        <f t="shared" ref="C89:AG89" si="11">C50+C54+C72+C68+C84+C88</f>
        <v>1942.1399999999999</v>
      </c>
      <c r="D89" s="94">
        <f t="shared" si="11"/>
        <v>1927.1399999999999</v>
      </c>
      <c r="E89" s="94">
        <f t="shared" si="11"/>
        <v>1942.1399999999999</v>
      </c>
      <c r="F89" s="94">
        <f t="shared" si="11"/>
        <v>1932.84</v>
      </c>
      <c r="G89" s="94">
        <f t="shared" si="11"/>
        <v>1967.84</v>
      </c>
      <c r="H89" s="94">
        <f t="shared" si="11"/>
        <v>1970.74</v>
      </c>
      <c r="I89" s="94">
        <f t="shared" si="11"/>
        <v>1970.74</v>
      </c>
      <c r="J89" s="94">
        <f t="shared" si="11"/>
        <v>1976.74</v>
      </c>
      <c r="K89" s="94">
        <f t="shared" si="11"/>
        <v>2011.24</v>
      </c>
      <c r="L89" s="94">
        <f t="shared" si="11"/>
        <v>1975.84</v>
      </c>
      <c r="M89" s="94">
        <f t="shared" si="11"/>
        <v>1978.04</v>
      </c>
      <c r="N89" s="94">
        <f t="shared" si="11"/>
        <v>1895.94</v>
      </c>
      <c r="O89" s="94">
        <f t="shared" si="11"/>
        <v>1928.44</v>
      </c>
      <c r="P89" s="94">
        <f t="shared" si="11"/>
        <v>1898.2399999999998</v>
      </c>
      <c r="Q89" s="94">
        <f t="shared" si="11"/>
        <v>1868.7399999999998</v>
      </c>
      <c r="R89" s="94">
        <f t="shared" si="11"/>
        <v>1903.8399999999997</v>
      </c>
      <c r="S89" s="94">
        <f t="shared" si="11"/>
        <v>1903.14</v>
      </c>
      <c r="T89" s="94">
        <f t="shared" si="11"/>
        <v>1913.0400000000002</v>
      </c>
      <c r="U89" s="94">
        <f t="shared" si="11"/>
        <v>1860.94</v>
      </c>
      <c r="V89" s="94">
        <f t="shared" si="11"/>
        <v>1847.1399999999999</v>
      </c>
      <c r="W89" s="94">
        <f t="shared" si="11"/>
        <v>1922.74</v>
      </c>
      <c r="X89" s="94">
        <f t="shared" si="11"/>
        <v>1892.6399999999999</v>
      </c>
      <c r="Y89" s="94">
        <f t="shared" si="11"/>
        <v>1917.74</v>
      </c>
      <c r="Z89" s="94">
        <f t="shared" si="11"/>
        <v>2022.5400000000002</v>
      </c>
      <c r="AA89" s="94">
        <f t="shared" si="11"/>
        <v>2043.6</v>
      </c>
      <c r="AB89" s="94">
        <f t="shared" si="11"/>
        <v>2034.8400000000001</v>
      </c>
      <c r="AC89" s="94">
        <f t="shared" si="11"/>
        <v>2058.34</v>
      </c>
      <c r="AD89" s="94">
        <f t="shared" si="11"/>
        <v>2055.2400000000002</v>
      </c>
      <c r="AE89" s="94">
        <f t="shared" si="11"/>
        <v>2028.64</v>
      </c>
      <c r="AF89" s="94">
        <f t="shared" si="11"/>
        <v>2000.34</v>
      </c>
      <c r="AG89" s="61">
        <f t="shared" si="11"/>
        <v>2111.5500000000002</v>
      </c>
      <c r="AH89" s="47">
        <f t="shared" si="8"/>
        <v>2058.34</v>
      </c>
      <c r="AI89" s="48">
        <f t="shared" si="9"/>
        <v>1847.1399999999999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2024.1399999999999</v>
      </c>
      <c r="C91" s="94">
        <f t="shared" ref="C91:AF91" si="12">C89+C90</f>
        <v>1942.1399999999999</v>
      </c>
      <c r="D91" s="94">
        <f t="shared" si="12"/>
        <v>1927.1399999999999</v>
      </c>
      <c r="E91" s="94">
        <f t="shared" si="12"/>
        <v>1942.1399999999999</v>
      </c>
      <c r="F91" s="94">
        <f t="shared" si="12"/>
        <v>1932.84</v>
      </c>
      <c r="G91" s="94">
        <f t="shared" si="12"/>
        <v>1967.84</v>
      </c>
      <c r="H91" s="94">
        <f t="shared" si="12"/>
        <v>1970.74</v>
      </c>
      <c r="I91" s="94">
        <f t="shared" si="12"/>
        <v>1970.74</v>
      </c>
      <c r="J91" s="94">
        <f t="shared" si="12"/>
        <v>1976.74</v>
      </c>
      <c r="K91" s="94">
        <f t="shared" si="12"/>
        <v>2011.24</v>
      </c>
      <c r="L91" s="94">
        <f t="shared" si="12"/>
        <v>1975.84</v>
      </c>
      <c r="M91" s="94">
        <f t="shared" si="12"/>
        <v>1978.04</v>
      </c>
      <c r="N91" s="94">
        <f t="shared" si="12"/>
        <v>1895.94</v>
      </c>
      <c r="O91" s="94">
        <f t="shared" si="12"/>
        <v>1928.44</v>
      </c>
      <c r="P91" s="94">
        <f t="shared" si="12"/>
        <v>1898.2399999999998</v>
      </c>
      <c r="Q91" s="94">
        <f t="shared" si="12"/>
        <v>1868.7399999999998</v>
      </c>
      <c r="R91" s="94">
        <f t="shared" si="12"/>
        <v>1903.8399999999997</v>
      </c>
      <c r="S91" s="94">
        <f t="shared" si="12"/>
        <v>1903.14</v>
      </c>
      <c r="T91" s="94">
        <f t="shared" si="12"/>
        <v>1913.0400000000002</v>
      </c>
      <c r="U91" s="94">
        <f t="shared" si="12"/>
        <v>1860.94</v>
      </c>
      <c r="V91" s="94">
        <f t="shared" si="12"/>
        <v>1847.1399999999999</v>
      </c>
      <c r="W91" s="94">
        <f t="shared" si="12"/>
        <v>1922.74</v>
      </c>
      <c r="X91" s="94">
        <f t="shared" si="12"/>
        <v>1892.6399999999999</v>
      </c>
      <c r="Y91" s="94">
        <f t="shared" si="12"/>
        <v>1917.74</v>
      </c>
      <c r="Z91" s="94">
        <f t="shared" si="12"/>
        <v>2022.5400000000002</v>
      </c>
      <c r="AA91" s="94">
        <f t="shared" si="12"/>
        <v>2043.6</v>
      </c>
      <c r="AB91" s="94">
        <f t="shared" si="12"/>
        <v>2034.8400000000001</v>
      </c>
      <c r="AC91" s="94">
        <f t="shared" si="12"/>
        <v>2058.34</v>
      </c>
      <c r="AD91" s="94">
        <f t="shared" si="12"/>
        <v>2055.2400000000002</v>
      </c>
      <c r="AE91" s="94">
        <f t="shared" si="12"/>
        <v>2028.64</v>
      </c>
      <c r="AF91" s="94">
        <f t="shared" si="12"/>
        <v>2000.34</v>
      </c>
      <c r="AG91" s="87">
        <f>AG88+AG84+AG72+AG68+AG50+AG90</f>
        <v>1573.45</v>
      </c>
      <c r="AH91" s="47">
        <f t="shared" si="8"/>
        <v>2058.34</v>
      </c>
      <c r="AI91" s="48">
        <f t="shared" si="9"/>
        <v>1847.1399999999999</v>
      </c>
    </row>
    <row r="92" spans="1:40" ht="15.75" thickBot="1" x14ac:dyDescent="0.3">
      <c r="A92" s="73" t="s">
        <v>103</v>
      </c>
      <c r="B92" s="94">
        <v>2024.1399999999999</v>
      </c>
      <c r="C92" s="94">
        <f t="shared" ref="C92:AF92" si="13">C91-C99</f>
        <v>1942.1399999999999</v>
      </c>
      <c r="D92" s="94">
        <f t="shared" si="13"/>
        <v>1927.1399999999999</v>
      </c>
      <c r="E92" s="94">
        <f t="shared" si="13"/>
        <v>1942.1399999999999</v>
      </c>
      <c r="F92" s="94">
        <f t="shared" si="13"/>
        <v>1932.84</v>
      </c>
      <c r="G92" s="94">
        <f t="shared" si="13"/>
        <v>1967.84</v>
      </c>
      <c r="H92" s="94">
        <f t="shared" si="13"/>
        <v>1970.74</v>
      </c>
      <c r="I92" s="94">
        <f t="shared" si="13"/>
        <v>1970.74</v>
      </c>
      <c r="J92" s="94">
        <f t="shared" si="13"/>
        <v>1976.74</v>
      </c>
      <c r="K92" s="94">
        <f t="shared" si="13"/>
        <v>2011.24</v>
      </c>
      <c r="L92" s="94">
        <f t="shared" si="13"/>
        <v>1975.84</v>
      </c>
      <c r="M92" s="94">
        <f t="shared" si="13"/>
        <v>1978.04</v>
      </c>
      <c r="N92" s="94">
        <f t="shared" si="13"/>
        <v>1895.94</v>
      </c>
      <c r="O92" s="94">
        <f t="shared" si="13"/>
        <v>1928.44</v>
      </c>
      <c r="P92" s="94">
        <f t="shared" si="13"/>
        <v>1898.2399999999998</v>
      </c>
      <c r="Q92" s="94">
        <f t="shared" si="13"/>
        <v>1868.7399999999998</v>
      </c>
      <c r="R92" s="94">
        <f t="shared" si="13"/>
        <v>1903.8399999999997</v>
      </c>
      <c r="S92" s="94">
        <f t="shared" si="13"/>
        <v>1903.14</v>
      </c>
      <c r="T92" s="94">
        <f t="shared" si="13"/>
        <v>1913.0400000000002</v>
      </c>
      <c r="U92" s="94">
        <f t="shared" si="13"/>
        <v>1860.94</v>
      </c>
      <c r="V92" s="94">
        <f t="shared" si="13"/>
        <v>1847.1399999999999</v>
      </c>
      <c r="W92" s="94">
        <f t="shared" si="13"/>
        <v>1922.74</v>
      </c>
      <c r="X92" s="94">
        <f t="shared" si="13"/>
        <v>1892.6399999999999</v>
      </c>
      <c r="Y92" s="94">
        <f t="shared" si="13"/>
        <v>1917.74</v>
      </c>
      <c r="Z92" s="94">
        <f t="shared" si="13"/>
        <v>2022.5400000000002</v>
      </c>
      <c r="AA92" s="94">
        <f t="shared" si="13"/>
        <v>2043.6</v>
      </c>
      <c r="AB92" s="94">
        <f t="shared" si="13"/>
        <v>2034.8400000000001</v>
      </c>
      <c r="AC92" s="94">
        <f t="shared" si="13"/>
        <v>2058.34</v>
      </c>
      <c r="AD92" s="94">
        <f t="shared" si="13"/>
        <v>2055.2400000000002</v>
      </c>
      <c r="AE92" s="94">
        <f t="shared" si="13"/>
        <v>2028.64</v>
      </c>
      <c r="AF92" s="94">
        <f t="shared" si="13"/>
        <v>2000.34</v>
      </c>
      <c r="AG92" s="87"/>
      <c r="AH92" s="47">
        <f t="shared" si="8"/>
        <v>2058.34</v>
      </c>
      <c r="AI92" s="48">
        <f t="shared" si="9"/>
        <v>1847.1399999999999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v>2</v>
      </c>
      <c r="C100" s="60">
        <f t="shared" ref="C100:AF100" si="14">C84-C99</f>
        <v>0</v>
      </c>
      <c r="D100" s="60">
        <f t="shared" si="14"/>
        <v>0</v>
      </c>
      <c r="E100" s="60">
        <f t="shared" si="14"/>
        <v>0</v>
      </c>
      <c r="F100" s="60">
        <f t="shared" si="14"/>
        <v>0</v>
      </c>
      <c r="G100" s="60">
        <f t="shared" si="14"/>
        <v>0</v>
      </c>
      <c r="H100" s="60">
        <f t="shared" si="14"/>
        <v>0</v>
      </c>
      <c r="I100" s="60">
        <f>I84-I99</f>
        <v>0</v>
      </c>
      <c r="J100" s="60">
        <f>J84-J99</f>
        <v>0</v>
      </c>
      <c r="K100" s="60">
        <f>K84-K99</f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0</v>
      </c>
      <c r="P100" s="60">
        <f t="shared" si="14"/>
        <v>0</v>
      </c>
      <c r="Q100" s="60">
        <f t="shared" si="14"/>
        <v>4.5</v>
      </c>
      <c r="R100" s="60">
        <f t="shared" si="14"/>
        <v>6.6</v>
      </c>
      <c r="S100" s="60">
        <f t="shared" si="14"/>
        <v>0</v>
      </c>
      <c r="T100" s="60">
        <f t="shared" si="14"/>
        <v>0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0</v>
      </c>
      <c r="Y100" s="60">
        <f t="shared" si="14"/>
        <v>0.9</v>
      </c>
      <c r="Z100" s="60">
        <f t="shared" si="14"/>
        <v>0</v>
      </c>
      <c r="AA100" s="60">
        <f t="shared" si="14"/>
        <v>0</v>
      </c>
      <c r="AB100" s="60">
        <f t="shared" si="14"/>
        <v>18</v>
      </c>
      <c r="AC100" s="60">
        <f t="shared" si="14"/>
        <v>19.5</v>
      </c>
      <c r="AD100" s="60">
        <f t="shared" si="14"/>
        <v>12.4</v>
      </c>
      <c r="AE100" s="60">
        <f t="shared" si="14"/>
        <v>18.3</v>
      </c>
      <c r="AF100" s="60">
        <f t="shared" si="14"/>
        <v>6.6</v>
      </c>
      <c r="AG100" s="87"/>
      <c r="AH100" s="47">
        <f t="shared" si="8"/>
        <v>19.5</v>
      </c>
      <c r="AI100" s="48">
        <f t="shared" si="9"/>
        <v>0</v>
      </c>
    </row>
    <row r="101" spans="1:37" x14ac:dyDescent="0.25">
      <c r="A101" s="99" t="s">
        <v>109</v>
      </c>
      <c r="B101" s="100">
        <v>50.04</v>
      </c>
      <c r="C101" s="100">
        <v>50.04</v>
      </c>
      <c r="D101" s="100">
        <v>50.04</v>
      </c>
      <c r="E101" s="100">
        <v>50.04</v>
      </c>
      <c r="F101" s="100">
        <v>50.04</v>
      </c>
      <c r="G101" s="100">
        <v>50.04</v>
      </c>
      <c r="H101" s="100">
        <v>49.93</v>
      </c>
      <c r="I101" s="100">
        <v>49.93</v>
      </c>
      <c r="J101" s="100">
        <v>49.93</v>
      </c>
      <c r="K101" s="100">
        <v>49.96</v>
      </c>
      <c r="L101" s="100">
        <v>50.03</v>
      </c>
      <c r="M101" s="100">
        <v>50.02</v>
      </c>
      <c r="N101" s="100">
        <v>50.008000000000003</v>
      </c>
      <c r="O101" s="100">
        <v>50.030999999999999</v>
      </c>
      <c r="P101" s="100">
        <v>50.009</v>
      </c>
      <c r="Q101" s="100">
        <v>50.055999999999997</v>
      </c>
      <c r="R101" s="100">
        <v>50.037999999999997</v>
      </c>
      <c r="S101" s="100">
        <v>50.055999999999997</v>
      </c>
      <c r="T101" s="100">
        <v>49.99</v>
      </c>
      <c r="U101" s="100">
        <v>50.040999999999997</v>
      </c>
      <c r="V101" s="100">
        <v>50.030999999999999</v>
      </c>
      <c r="W101" s="100">
        <v>50.033999999999999</v>
      </c>
      <c r="X101" s="100">
        <v>50.045999999999999</v>
      </c>
      <c r="Y101" s="100">
        <v>50.046999999999997</v>
      </c>
      <c r="Z101" s="100">
        <v>50.051000000000002</v>
      </c>
      <c r="AA101" s="100">
        <v>50.034999999999997</v>
      </c>
      <c r="AB101" s="100">
        <v>50.1</v>
      </c>
      <c r="AC101" s="100">
        <v>50.042999999999999</v>
      </c>
      <c r="AD101" s="100">
        <v>50.05</v>
      </c>
      <c r="AE101" s="100">
        <v>50.04</v>
      </c>
      <c r="AF101" s="100">
        <v>50.01</v>
      </c>
      <c r="AG101" s="101"/>
      <c r="AH101" s="47">
        <f t="shared" si="8"/>
        <v>50.1</v>
      </c>
      <c r="AI101" s="48">
        <f t="shared" si="9"/>
        <v>49.93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129</v>
      </c>
      <c r="C103" s="64">
        <v>129</v>
      </c>
      <c r="D103" s="64">
        <v>128.5</v>
      </c>
      <c r="E103" s="64">
        <v>128.5</v>
      </c>
      <c r="F103" s="64">
        <v>128.5</v>
      </c>
      <c r="G103" s="64">
        <v>128.5</v>
      </c>
      <c r="H103" s="64">
        <v>129.19999999999999</v>
      </c>
      <c r="I103" s="64">
        <v>129.19999999999999</v>
      </c>
      <c r="J103" s="64">
        <v>129.19999999999999</v>
      </c>
      <c r="K103" s="64">
        <v>127.4</v>
      </c>
      <c r="L103" s="64">
        <v>125.9</v>
      </c>
      <c r="M103" s="64">
        <v>126.5</v>
      </c>
      <c r="N103" s="64">
        <v>125.1</v>
      </c>
      <c r="O103" s="64">
        <v>124.9</v>
      </c>
      <c r="P103" s="64">
        <v>125.3</v>
      </c>
      <c r="Q103" s="64">
        <v>126.6</v>
      </c>
      <c r="R103" s="64">
        <v>125.4</v>
      </c>
      <c r="S103" s="64">
        <v>126.1</v>
      </c>
      <c r="T103" s="64">
        <v>126.6</v>
      </c>
      <c r="U103" s="64">
        <v>128.19999999999999</v>
      </c>
      <c r="V103" s="64"/>
      <c r="W103" s="64"/>
      <c r="X103" s="64"/>
      <c r="Y103" s="64">
        <v>127.3</v>
      </c>
      <c r="Z103" s="64">
        <v>124.3</v>
      </c>
      <c r="AA103" s="64">
        <v>124.3</v>
      </c>
      <c r="AB103" s="64">
        <v>128.6</v>
      </c>
      <c r="AC103" s="64">
        <v>127.3</v>
      </c>
      <c r="AD103" s="64">
        <v>127.1</v>
      </c>
      <c r="AE103" s="64">
        <v>128.9</v>
      </c>
      <c r="AF103" s="64">
        <v>129.30000000000001</v>
      </c>
      <c r="AG103" s="103"/>
      <c r="AH103" s="47">
        <f t="shared" si="8"/>
        <v>129.30000000000001</v>
      </c>
      <c r="AI103" s="48">
        <f t="shared" si="9"/>
        <v>124.3</v>
      </c>
    </row>
    <row r="104" spans="1:37" x14ac:dyDescent="0.25">
      <c r="A104" s="102" t="s">
        <v>112</v>
      </c>
      <c r="B104" s="64">
        <v>129</v>
      </c>
      <c r="C104" s="64">
        <v>129</v>
      </c>
      <c r="D104" s="64">
        <v>127.4</v>
      </c>
      <c r="E104" s="64">
        <v>127.4</v>
      </c>
      <c r="F104" s="64">
        <v>127.4</v>
      </c>
      <c r="G104" s="64">
        <v>127.4</v>
      </c>
      <c r="H104" s="64">
        <v>130.5</v>
      </c>
      <c r="I104" s="64">
        <v>130.5</v>
      </c>
      <c r="J104" s="64">
        <v>130.5</v>
      </c>
      <c r="K104" s="64">
        <v>126.7</v>
      </c>
      <c r="L104" s="64">
        <v>130</v>
      </c>
      <c r="M104" s="64">
        <v>127.8</v>
      </c>
      <c r="N104" s="64">
        <v>126.6</v>
      </c>
      <c r="O104" s="64">
        <v>124.9</v>
      </c>
      <c r="P104" s="64">
        <v>127.5</v>
      </c>
      <c r="Q104" s="64">
        <v>127.8</v>
      </c>
      <c r="R104" s="64">
        <v>129.9</v>
      </c>
      <c r="S104" s="64">
        <v>126.8</v>
      </c>
      <c r="T104" s="64">
        <v>125.4</v>
      </c>
      <c r="U104" s="64">
        <v>129.5</v>
      </c>
      <c r="V104" s="64">
        <v>131.19999999999999</v>
      </c>
      <c r="W104" s="64">
        <v>130</v>
      </c>
      <c r="X104" s="64">
        <v>132</v>
      </c>
      <c r="Y104" s="64">
        <v>129.4</v>
      </c>
      <c r="Z104" s="64">
        <v>129</v>
      </c>
      <c r="AA104" s="64">
        <v>127.4</v>
      </c>
      <c r="AB104" s="64">
        <v>128.5</v>
      </c>
      <c r="AC104" s="64">
        <v>125.9</v>
      </c>
      <c r="AD104" s="64">
        <v>126.1</v>
      </c>
      <c r="AE104" s="64">
        <v>127.1</v>
      </c>
      <c r="AF104" s="64">
        <v>126.1</v>
      </c>
      <c r="AG104" s="103"/>
      <c r="AH104" s="47">
        <f t="shared" si="8"/>
        <v>132</v>
      </c>
      <c r="AI104" s="48">
        <f t="shared" si="9"/>
        <v>124.9</v>
      </c>
    </row>
    <row r="105" spans="1:37" x14ac:dyDescent="0.25">
      <c r="A105" s="104" t="s">
        <v>113</v>
      </c>
      <c r="B105" s="64">
        <v>131</v>
      </c>
      <c r="C105" s="64">
        <v>131</v>
      </c>
      <c r="D105" s="64">
        <v>130</v>
      </c>
      <c r="E105" s="64">
        <v>130</v>
      </c>
      <c r="F105" s="64">
        <v>130</v>
      </c>
      <c r="G105" s="64">
        <v>130</v>
      </c>
      <c r="H105" s="64">
        <v>133.80000000000001</v>
      </c>
      <c r="I105" s="64">
        <v>133.80000000000001</v>
      </c>
      <c r="J105" s="64">
        <v>133.80000000000001</v>
      </c>
      <c r="K105" s="64">
        <v>129.69999999999999</v>
      </c>
      <c r="L105" s="64">
        <v>132.6</v>
      </c>
      <c r="M105" s="64">
        <v>130</v>
      </c>
      <c r="N105" s="64">
        <v>127.7</v>
      </c>
      <c r="O105" s="64">
        <v>126.8</v>
      </c>
      <c r="P105" s="64">
        <v>128.9</v>
      </c>
      <c r="Q105" s="64">
        <v>127.6</v>
      </c>
      <c r="R105" s="64">
        <v>129.9</v>
      </c>
      <c r="S105" s="64">
        <v>127.9</v>
      </c>
      <c r="T105" s="64">
        <v>126.8</v>
      </c>
      <c r="U105" s="64">
        <v>130.4</v>
      </c>
      <c r="V105" s="64">
        <v>132.30000000000001</v>
      </c>
      <c r="W105" s="64">
        <v>131.19999999999999</v>
      </c>
      <c r="X105" s="64">
        <v>133.1</v>
      </c>
      <c r="Y105" s="64">
        <v>131.6</v>
      </c>
      <c r="Z105" s="64">
        <v>130.30000000000001</v>
      </c>
      <c r="AA105" s="64">
        <v>129</v>
      </c>
      <c r="AB105" s="64">
        <v>130</v>
      </c>
      <c r="AC105" s="64">
        <v>127.7</v>
      </c>
      <c r="AD105" s="64">
        <v>127.1</v>
      </c>
      <c r="AE105" s="64">
        <v>129</v>
      </c>
      <c r="AF105" s="64">
        <v>128.5</v>
      </c>
      <c r="AG105" s="103"/>
      <c r="AH105" s="47">
        <f t="shared" si="8"/>
        <v>133.80000000000001</v>
      </c>
      <c r="AI105" s="48">
        <f t="shared" si="9"/>
        <v>126.8</v>
      </c>
    </row>
    <row r="106" spans="1:37" x14ac:dyDescent="0.25">
      <c r="A106" s="104" t="s">
        <v>114</v>
      </c>
      <c r="B106" s="105">
        <v>131.6</v>
      </c>
      <c r="C106" s="105">
        <v>129</v>
      </c>
      <c r="D106" s="105">
        <v>133</v>
      </c>
      <c r="E106" s="105">
        <v>133</v>
      </c>
      <c r="F106" s="105">
        <v>133</v>
      </c>
      <c r="G106" s="105">
        <v>133</v>
      </c>
      <c r="H106" s="105">
        <v>133.1</v>
      </c>
      <c r="I106" s="105">
        <v>133.1</v>
      </c>
      <c r="J106" s="105">
        <v>133.1</v>
      </c>
      <c r="K106" s="105">
        <v>131.69999999999999</v>
      </c>
      <c r="L106" s="105">
        <v>128.30000000000001</v>
      </c>
      <c r="M106" s="105">
        <v>132.85</v>
      </c>
      <c r="N106" s="105">
        <v>129.6</v>
      </c>
      <c r="O106" s="105">
        <v>132.6</v>
      </c>
      <c r="P106" s="105">
        <v>131.19999999999999</v>
      </c>
      <c r="Q106" s="105">
        <v>135</v>
      </c>
      <c r="R106" s="105">
        <v>131.69999999999999</v>
      </c>
      <c r="S106" s="105">
        <v>132.4</v>
      </c>
      <c r="T106" s="105">
        <v>134.19999999999999</v>
      </c>
      <c r="U106" s="105">
        <v>134.5</v>
      </c>
      <c r="V106" s="105">
        <v>134.6</v>
      </c>
      <c r="W106" s="105">
        <v>133.80000000000001</v>
      </c>
      <c r="X106" s="105">
        <v>133.6</v>
      </c>
      <c r="Y106" s="105">
        <v>134.1</v>
      </c>
      <c r="Z106" s="105">
        <v>134.4</v>
      </c>
      <c r="AA106" s="105">
        <v>132.9</v>
      </c>
      <c r="AB106" s="105">
        <v>134</v>
      </c>
      <c r="AC106" s="105">
        <v>134</v>
      </c>
      <c r="AD106" s="105">
        <v>129.4</v>
      </c>
      <c r="AE106" s="105">
        <v>131.6</v>
      </c>
      <c r="AF106" s="105">
        <v>130.5</v>
      </c>
      <c r="AG106" s="106"/>
      <c r="AH106" s="47">
        <f t="shared" si="8"/>
        <v>135</v>
      </c>
      <c r="AI106" s="48">
        <f t="shared" si="9"/>
        <v>128.30000000000001</v>
      </c>
    </row>
    <row r="107" spans="1:37" x14ac:dyDescent="0.25">
      <c r="A107" s="102" t="s">
        <v>115</v>
      </c>
      <c r="B107" s="64">
        <v>131</v>
      </c>
      <c r="C107" s="64">
        <v>129</v>
      </c>
      <c r="D107" s="64">
        <v>129.4</v>
      </c>
      <c r="E107" s="64">
        <v>129.4</v>
      </c>
      <c r="F107" s="64">
        <v>129.4</v>
      </c>
      <c r="G107" s="64">
        <v>129.4</v>
      </c>
      <c r="H107" s="64">
        <v>132.69999999999999</v>
      </c>
      <c r="I107" s="64">
        <v>132.69999999999999</v>
      </c>
      <c r="J107" s="64">
        <v>132.69999999999999</v>
      </c>
      <c r="K107" s="64">
        <v>132.69999999999999</v>
      </c>
      <c r="L107" s="64">
        <v>127.8</v>
      </c>
      <c r="M107" s="64">
        <v>128.5</v>
      </c>
      <c r="N107" s="64">
        <v>127.1</v>
      </c>
      <c r="O107" s="64">
        <v>129.30000000000001</v>
      </c>
      <c r="P107" s="64">
        <v>125.9</v>
      </c>
      <c r="Q107" s="64">
        <v>131.69999999999999</v>
      </c>
      <c r="R107" s="64">
        <v>125.4</v>
      </c>
      <c r="S107" s="64">
        <v>135.30000000000001</v>
      </c>
      <c r="T107" s="64">
        <v>137.4</v>
      </c>
      <c r="U107" s="64">
        <v>136</v>
      </c>
      <c r="V107" s="64">
        <v>137.30000000000001</v>
      </c>
      <c r="W107" s="64">
        <v>136.80000000000001</v>
      </c>
      <c r="X107" s="64">
        <v>133.1</v>
      </c>
      <c r="Y107" s="64">
        <v>135.69999999999999</v>
      </c>
      <c r="Z107" s="64">
        <v>135.30000000000001</v>
      </c>
      <c r="AA107" s="64">
        <v>131.69999999999999</v>
      </c>
      <c r="AB107" s="64">
        <v>130.19999999999999</v>
      </c>
      <c r="AC107" s="64">
        <v>127.2</v>
      </c>
      <c r="AD107" s="64">
        <v>132</v>
      </c>
      <c r="AE107" s="64">
        <v>129.30000000000001</v>
      </c>
      <c r="AF107" s="64">
        <v>129</v>
      </c>
      <c r="AG107" s="103"/>
      <c r="AH107" s="47">
        <f t="shared" si="8"/>
        <v>137.4</v>
      </c>
      <c r="AI107" s="48">
        <f t="shared" si="9"/>
        <v>125.4</v>
      </c>
    </row>
    <row r="108" spans="1:37" ht="15.75" thickBot="1" x14ac:dyDescent="0.3">
      <c r="A108" s="102" t="s">
        <v>116</v>
      </c>
      <c r="B108" s="91">
        <v>64.400000000000006</v>
      </c>
      <c r="C108" s="91">
        <v>64.8</v>
      </c>
      <c r="D108" s="91">
        <v>64.599999999999994</v>
      </c>
      <c r="E108" s="91">
        <v>64.599999999999994</v>
      </c>
      <c r="F108" s="91">
        <v>64.599999999999994</v>
      </c>
      <c r="G108" s="91">
        <v>64.599999999999994</v>
      </c>
      <c r="H108" s="91">
        <v>64.900000000000006</v>
      </c>
      <c r="I108" s="91">
        <v>64.900000000000006</v>
      </c>
      <c r="J108" s="91">
        <v>64.900000000000006</v>
      </c>
      <c r="K108" s="91">
        <v>64.900000000000006</v>
      </c>
      <c r="L108" s="91">
        <v>63.3</v>
      </c>
      <c r="M108" s="91">
        <v>63.4</v>
      </c>
      <c r="N108" s="91">
        <v>62.6</v>
      </c>
      <c r="O108" s="91">
        <v>62.3</v>
      </c>
      <c r="P108" s="91">
        <v>62.4</v>
      </c>
      <c r="Q108" s="91">
        <v>63.2</v>
      </c>
      <c r="R108" s="91">
        <v>62.5</v>
      </c>
      <c r="S108" s="91">
        <v>62.9</v>
      </c>
      <c r="T108" s="91">
        <v>63.2</v>
      </c>
      <c r="U108" s="91">
        <v>64</v>
      </c>
      <c r="V108" s="91"/>
      <c r="W108" s="91"/>
      <c r="X108" s="91">
        <v>64.400000000000006</v>
      </c>
      <c r="Y108" s="91">
        <v>63.9</v>
      </c>
      <c r="Z108" s="91">
        <v>62.4</v>
      </c>
      <c r="AA108" s="91">
        <v>62.3</v>
      </c>
      <c r="AB108" s="91">
        <v>65</v>
      </c>
      <c r="AC108" s="91">
        <v>63.9</v>
      </c>
      <c r="AD108" s="91">
        <v>63.9</v>
      </c>
      <c r="AE108" s="91">
        <v>64.8</v>
      </c>
      <c r="AF108" s="91">
        <v>65</v>
      </c>
      <c r="AG108" s="107"/>
      <c r="AH108" s="47">
        <f t="shared" si="8"/>
        <v>65</v>
      </c>
      <c r="AI108" s="48">
        <f t="shared" si="9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106.39999999999998</v>
      </c>
      <c r="C110" s="110">
        <f t="shared" ref="C110:O110" si="15">SUM(C20,C26,C29:C30,C58,C60:C61,C63,C65,C111:C115,C138,C144,C150,C159,C161,C173,C180,C183:C184,C191,C193,C195,C199:C201,C203:C205,C210,C216:C217,C219:C221,C229,C234)</f>
        <v>85.44</v>
      </c>
      <c r="D110" s="110">
        <f t="shared" si="15"/>
        <v>124.94</v>
      </c>
      <c r="E110" s="110">
        <f t="shared" si="15"/>
        <v>103.84</v>
      </c>
      <c r="F110" s="110">
        <f t="shared" si="15"/>
        <v>93.74</v>
      </c>
      <c r="G110" s="110">
        <f t="shared" si="15"/>
        <v>129.63999999999999</v>
      </c>
      <c r="H110" s="110">
        <f t="shared" si="15"/>
        <v>102.03999999999999</v>
      </c>
      <c r="I110" s="110">
        <f t="shared" si="15"/>
        <v>102.03999999999999</v>
      </c>
      <c r="J110" s="110">
        <f t="shared" si="15"/>
        <v>102.03999999999999</v>
      </c>
      <c r="K110" s="110">
        <f t="shared" si="15"/>
        <v>229.64000000000001</v>
      </c>
      <c r="L110" s="110">
        <f t="shared" si="15"/>
        <v>214.94000000000003</v>
      </c>
      <c r="M110" s="110">
        <f t="shared" si="15"/>
        <v>213.73999999999998</v>
      </c>
      <c r="N110" s="110">
        <f t="shared" si="15"/>
        <v>221.13999999999996</v>
      </c>
      <c r="O110" s="110">
        <f t="shared" si="15"/>
        <v>260.65499999999997</v>
      </c>
      <c r="P110" s="110">
        <v>42</v>
      </c>
      <c r="Q110" s="110">
        <f t="shared" ref="Q110:AF110" si="16">SUM(Q20,Q26,Q29:Q30,Q58,Q60:Q61,Q63,Q65,Q111:Q115,Q138,Q144,Q150,Q159,Q161,Q173,Q180,Q183:Q184,Q191,Q193,Q195,Q199:Q201,Q203:Q205,Q210,Q216:Q217,Q219:Q221,Q229,Q234)</f>
        <v>224.2</v>
      </c>
      <c r="R110" s="110">
        <f t="shared" si="16"/>
        <v>226.8</v>
      </c>
      <c r="S110" s="110">
        <f t="shared" si="16"/>
        <v>221.70000000000005</v>
      </c>
      <c r="T110" s="110">
        <f t="shared" si="16"/>
        <v>231.3</v>
      </c>
      <c r="U110" s="110">
        <f t="shared" si="16"/>
        <v>208.39999999999998</v>
      </c>
      <c r="V110" s="110">
        <f t="shared" si="16"/>
        <v>203.5</v>
      </c>
      <c r="W110" s="110">
        <f t="shared" si="16"/>
        <v>208.3</v>
      </c>
      <c r="X110" s="110">
        <f t="shared" si="16"/>
        <v>198.60000000000002</v>
      </c>
      <c r="Y110" s="110">
        <f t="shared" si="16"/>
        <v>230.3</v>
      </c>
      <c r="Z110" s="110">
        <f t="shared" si="16"/>
        <v>298.09999999999997</v>
      </c>
      <c r="AA110" s="110">
        <f t="shared" si="16"/>
        <v>280.20000000000005</v>
      </c>
      <c r="AB110" s="110">
        <f t="shared" si="16"/>
        <v>249.8</v>
      </c>
      <c r="AC110" s="110">
        <f t="shared" si="16"/>
        <v>221.2</v>
      </c>
      <c r="AD110" s="110"/>
      <c r="AE110" s="110">
        <f t="shared" si="16"/>
        <v>135.9</v>
      </c>
      <c r="AF110" s="110">
        <f t="shared" si="16"/>
        <v>79.299999999999983</v>
      </c>
      <c r="AG110" s="111"/>
      <c r="AH110" s="47">
        <f t="shared" si="8"/>
        <v>298.09999999999997</v>
      </c>
      <c r="AI110" s="48">
        <f t="shared" si="9"/>
        <v>42</v>
      </c>
    </row>
    <row r="111" spans="1:37" x14ac:dyDescent="0.25">
      <c r="A111" s="99" t="s">
        <v>119</v>
      </c>
      <c r="B111" s="112">
        <v>70</v>
      </c>
      <c r="C111" s="112">
        <v>26</v>
      </c>
      <c r="D111" s="112">
        <v>46</v>
      </c>
      <c r="E111" s="112">
        <v>46</v>
      </c>
      <c r="F111" s="112">
        <v>38</v>
      </c>
      <c r="G111" s="112">
        <v>32</v>
      </c>
      <c r="H111" s="112">
        <v>23.2</v>
      </c>
      <c r="I111" s="112">
        <v>23.2</v>
      </c>
      <c r="J111" s="112">
        <v>23.2</v>
      </c>
      <c r="K111" s="112">
        <v>31.6</v>
      </c>
      <c r="L111" s="112">
        <v>33.299999999999997</v>
      </c>
      <c r="M111" s="112">
        <v>39.799999999999997</v>
      </c>
      <c r="N111" s="112">
        <v>32.1</v>
      </c>
      <c r="O111" s="112">
        <v>50.015000000000001</v>
      </c>
      <c r="P111" s="112">
        <v>40.9</v>
      </c>
      <c r="Q111" s="112">
        <v>33.1</v>
      </c>
      <c r="R111" s="112">
        <v>31.5</v>
      </c>
      <c r="S111" s="112">
        <v>34.799999999999997</v>
      </c>
      <c r="T111" s="112">
        <v>35.299999999999997</v>
      </c>
      <c r="U111" s="112">
        <v>31.1</v>
      </c>
      <c r="V111" s="112">
        <v>45.3</v>
      </c>
      <c r="W111" s="112">
        <v>51</v>
      </c>
      <c r="X111" s="112">
        <v>25.3</v>
      </c>
      <c r="Y111" s="112">
        <v>27.6</v>
      </c>
      <c r="Z111" s="112">
        <v>64.2</v>
      </c>
      <c r="AA111" s="112">
        <v>58.1</v>
      </c>
      <c r="AB111" s="112">
        <v>56.9</v>
      </c>
      <c r="AC111" s="112">
        <v>61.1</v>
      </c>
      <c r="AD111" s="112">
        <v>67</v>
      </c>
      <c r="AE111" s="112">
        <v>33.9</v>
      </c>
      <c r="AF111" s="112">
        <v>20.7</v>
      </c>
      <c r="AG111" s="113">
        <v>75</v>
      </c>
      <c r="AH111" s="47">
        <f t="shared" si="8"/>
        <v>70</v>
      </c>
      <c r="AI111" s="48">
        <f t="shared" si="9"/>
        <v>20.7</v>
      </c>
    </row>
    <row r="112" spans="1:37" x14ac:dyDescent="0.25">
      <c r="A112" s="102" t="s">
        <v>120</v>
      </c>
      <c r="B112" s="114">
        <v>45</v>
      </c>
      <c r="C112" s="114">
        <v>14</v>
      </c>
      <c r="D112" s="114">
        <v>27</v>
      </c>
      <c r="E112" s="114">
        <v>27</v>
      </c>
      <c r="F112" s="114">
        <v>27</v>
      </c>
      <c r="G112" s="114">
        <v>43.2</v>
      </c>
      <c r="H112" s="114">
        <v>36.799999999999997</v>
      </c>
      <c r="I112" s="114">
        <v>36.799999999999997</v>
      </c>
      <c r="J112" s="114">
        <v>36.799999999999997</v>
      </c>
      <c r="K112" s="114">
        <v>43</v>
      </c>
      <c r="L112" s="114">
        <v>45.5</v>
      </c>
      <c r="M112" s="114">
        <v>54</v>
      </c>
      <c r="N112" s="114">
        <v>42.6</v>
      </c>
      <c r="O112" s="114">
        <v>55.4</v>
      </c>
      <c r="P112" s="114">
        <v>55.8</v>
      </c>
      <c r="Q112" s="114">
        <v>42.3</v>
      </c>
      <c r="R112" s="114">
        <v>41.9</v>
      </c>
      <c r="S112" s="114">
        <v>45.4</v>
      </c>
      <c r="T112" s="114">
        <v>49.1</v>
      </c>
      <c r="U112" s="114">
        <v>40.700000000000003</v>
      </c>
      <c r="V112" s="114">
        <v>42.3</v>
      </c>
      <c r="W112" s="114">
        <v>38</v>
      </c>
      <c r="X112" s="114">
        <v>31.3</v>
      </c>
      <c r="Y112" s="114">
        <v>35</v>
      </c>
      <c r="Z112" s="114">
        <v>93.4</v>
      </c>
      <c r="AA112" s="114">
        <v>84</v>
      </c>
      <c r="AB112" s="114">
        <v>76.099999999999994</v>
      </c>
      <c r="AC112" s="114">
        <v>87.3</v>
      </c>
      <c r="AD112" s="114">
        <v>97.9</v>
      </c>
      <c r="AE112" s="114">
        <v>48.9</v>
      </c>
      <c r="AF112" s="114">
        <v>33</v>
      </c>
      <c r="AG112" s="113">
        <v>240</v>
      </c>
      <c r="AH112" s="47">
        <f t="shared" si="8"/>
        <v>97.9</v>
      </c>
      <c r="AI112" s="48">
        <f t="shared" si="9"/>
        <v>14</v>
      </c>
    </row>
    <row r="113" spans="1:37" x14ac:dyDescent="0.25">
      <c r="A113" s="102" t="s">
        <v>121</v>
      </c>
      <c r="B113" s="114">
        <v>-170</v>
      </c>
      <c r="C113" s="114">
        <v>-140</v>
      </c>
      <c r="D113" s="114">
        <v>-120</v>
      </c>
      <c r="E113" s="114">
        <v>-120</v>
      </c>
      <c r="F113" s="114">
        <v>-120</v>
      </c>
      <c r="G113" s="114">
        <v>-122</v>
      </c>
      <c r="H113" s="114">
        <f>-59.9-64.4</f>
        <v>-124.30000000000001</v>
      </c>
      <c r="I113" s="114">
        <f>-59.9-64.4</f>
        <v>-124.30000000000001</v>
      </c>
      <c r="J113" s="114">
        <f>-59.9-64.4</f>
        <v>-124.30000000000001</v>
      </c>
      <c r="K113" s="114">
        <f>-26.1-29</f>
        <v>-55.1</v>
      </c>
      <c r="L113" s="114">
        <f>-27.9-30.6</f>
        <v>-58.5</v>
      </c>
      <c r="M113" s="114">
        <v>-65</v>
      </c>
      <c r="N113" s="114">
        <v>-53</v>
      </c>
      <c r="O113" s="114">
        <v>-55</v>
      </c>
      <c r="P113" s="114">
        <v>-59</v>
      </c>
      <c r="Q113" s="114">
        <v>-56</v>
      </c>
      <c r="R113" s="114">
        <v>-60</v>
      </c>
      <c r="S113" s="114">
        <v>-60</v>
      </c>
      <c r="T113" s="114">
        <v>-68</v>
      </c>
      <c r="U113" s="114">
        <v>-48</v>
      </c>
      <c r="V113" s="114">
        <v>-45</v>
      </c>
      <c r="W113" s="114">
        <v>-43</v>
      </c>
      <c r="X113" s="114">
        <f>-15-14.7</f>
        <v>-29.7</v>
      </c>
      <c r="Y113" s="114">
        <v>-23</v>
      </c>
      <c r="Z113" s="114">
        <v>-100</v>
      </c>
      <c r="AA113" s="114">
        <v>-100</v>
      </c>
      <c r="AB113" s="114">
        <f>-44-46</f>
        <v>-90</v>
      </c>
      <c r="AC113" s="114">
        <f>-63-66</f>
        <v>-129</v>
      </c>
      <c r="AD113" s="114">
        <f>-76-79.3</f>
        <v>-155.30000000000001</v>
      </c>
      <c r="AE113" s="114">
        <f>-59-63.1</f>
        <v>-122.1</v>
      </c>
      <c r="AF113" s="114">
        <f>-63.6-66.7</f>
        <v>-130.30000000000001</v>
      </c>
      <c r="AG113" s="113">
        <v>240</v>
      </c>
      <c r="AH113" s="47">
        <f t="shared" si="8"/>
        <v>-23</v>
      </c>
      <c r="AI113" s="48">
        <f t="shared" si="9"/>
        <v>-170</v>
      </c>
    </row>
    <row r="114" spans="1:37" x14ac:dyDescent="0.25">
      <c r="A114" s="102" t="s">
        <v>122</v>
      </c>
      <c r="B114" s="114">
        <v>-15</v>
      </c>
      <c r="C114" s="114">
        <v>-12</v>
      </c>
      <c r="D114" s="114">
        <v>-11</v>
      </c>
      <c r="E114" s="114">
        <v>-12.1</v>
      </c>
      <c r="F114" s="114">
        <v>-14.2</v>
      </c>
      <c r="G114" s="114">
        <v>-6.5</v>
      </c>
      <c r="H114" s="114">
        <v>-5.6</v>
      </c>
      <c r="I114" s="114">
        <v>-5.6</v>
      </c>
      <c r="J114" s="114">
        <v>-5.6</v>
      </c>
      <c r="K114" s="114">
        <v>5.3</v>
      </c>
      <c r="L114" s="114">
        <v>4.8</v>
      </c>
      <c r="M114" s="114">
        <v>5.3</v>
      </c>
      <c r="N114" s="114">
        <v>1.2</v>
      </c>
      <c r="O114" s="114">
        <v>3.7</v>
      </c>
      <c r="P114" s="114">
        <v>10.9</v>
      </c>
      <c r="Q114" s="114">
        <v>17</v>
      </c>
      <c r="R114" s="114">
        <v>16.5</v>
      </c>
      <c r="S114" s="114">
        <v>15.4</v>
      </c>
      <c r="T114" s="114">
        <v>16.5</v>
      </c>
      <c r="U114" s="114">
        <v>16.2</v>
      </c>
      <c r="V114" s="114"/>
      <c r="W114" s="114"/>
      <c r="X114" s="114">
        <v>20.100000000000001</v>
      </c>
      <c r="Y114" s="114">
        <v>21.3</v>
      </c>
      <c r="Z114" s="114">
        <v>15.3</v>
      </c>
      <c r="AA114" s="114">
        <v>14</v>
      </c>
      <c r="AB114" s="114">
        <v>13.8</v>
      </c>
      <c r="AC114" s="114">
        <v>8.6</v>
      </c>
      <c r="AD114" s="114">
        <v>1.6</v>
      </c>
      <c r="AE114" s="114">
        <v>-3.1</v>
      </c>
      <c r="AF114" s="114">
        <v>-5</v>
      </c>
      <c r="AG114" s="113">
        <v>60</v>
      </c>
      <c r="AH114" s="47">
        <f t="shared" si="8"/>
        <v>21.3</v>
      </c>
      <c r="AI114" s="48">
        <f t="shared" si="9"/>
        <v>-15</v>
      </c>
    </row>
    <row r="115" spans="1:37" x14ac:dyDescent="0.25">
      <c r="A115" s="115" t="s">
        <v>123</v>
      </c>
      <c r="B115" s="116">
        <v>23</v>
      </c>
      <c r="C115" s="116">
        <v>33.5</v>
      </c>
      <c r="D115" s="116">
        <v>34</v>
      </c>
      <c r="E115" s="116">
        <v>34</v>
      </c>
      <c r="F115" s="116">
        <v>34</v>
      </c>
      <c r="G115" s="116">
        <v>34</v>
      </c>
      <c r="H115" s="116">
        <v>33</v>
      </c>
      <c r="I115" s="116">
        <v>33</v>
      </c>
      <c r="J115" s="116">
        <v>33</v>
      </c>
      <c r="K115" s="116">
        <v>45.9</v>
      </c>
      <c r="L115" s="116">
        <v>45.9</v>
      </c>
      <c r="M115" s="116">
        <v>46.6</v>
      </c>
      <c r="N115" s="116">
        <v>41.1</v>
      </c>
      <c r="O115" s="116">
        <v>40.1</v>
      </c>
      <c r="P115" s="116">
        <v>31.2</v>
      </c>
      <c r="Q115" s="116">
        <v>32</v>
      </c>
      <c r="R115" s="116">
        <v>31.9</v>
      </c>
      <c r="S115" s="116">
        <v>28</v>
      </c>
      <c r="T115" s="116">
        <v>43.2</v>
      </c>
      <c r="U115" s="116">
        <v>27.5</v>
      </c>
      <c r="V115" s="116">
        <v>27.2</v>
      </c>
      <c r="W115" s="116">
        <v>29</v>
      </c>
      <c r="X115" s="116">
        <v>27.2</v>
      </c>
      <c r="Y115" s="116">
        <v>27</v>
      </c>
      <c r="Z115" s="116">
        <v>58</v>
      </c>
      <c r="AA115" s="116">
        <v>67.099999999999994</v>
      </c>
      <c r="AB115" s="116">
        <v>38.200000000000003</v>
      </c>
      <c r="AC115" s="116">
        <v>38.799999999999997</v>
      </c>
      <c r="AD115" s="116">
        <v>39.4</v>
      </c>
      <c r="AE115" s="116">
        <v>40.1</v>
      </c>
      <c r="AF115" s="116">
        <v>21.1</v>
      </c>
      <c r="AG115" s="117">
        <v>120</v>
      </c>
      <c r="AH115" s="47">
        <f t="shared" si="8"/>
        <v>67.099999999999994</v>
      </c>
      <c r="AI115" s="48">
        <f t="shared" si="9"/>
        <v>21.1</v>
      </c>
    </row>
    <row r="116" spans="1:37" x14ac:dyDescent="0.25">
      <c r="A116" s="115" t="s">
        <v>124</v>
      </c>
      <c r="B116" s="116">
        <v>47</v>
      </c>
      <c r="C116" s="116">
        <v>39</v>
      </c>
      <c r="D116" s="116">
        <v>45</v>
      </c>
      <c r="E116" s="116">
        <v>45</v>
      </c>
      <c r="F116" s="116">
        <v>45</v>
      </c>
      <c r="G116" s="116">
        <v>45</v>
      </c>
      <c r="H116" s="116">
        <v>46.3</v>
      </c>
      <c r="I116" s="116">
        <v>46.3</v>
      </c>
      <c r="J116" s="116">
        <v>46.3</v>
      </c>
      <c r="K116" s="116">
        <v>81.099999999999994</v>
      </c>
      <c r="L116" s="116">
        <v>82.2</v>
      </c>
      <c r="M116" s="116">
        <v>66</v>
      </c>
      <c r="N116" s="116">
        <v>90.7</v>
      </c>
      <c r="O116" s="116">
        <v>76</v>
      </c>
      <c r="P116" s="116">
        <v>78.2</v>
      </c>
      <c r="Q116" s="116">
        <v>52.9</v>
      </c>
      <c r="R116" s="116">
        <v>69.400000000000006</v>
      </c>
      <c r="S116" s="116">
        <v>84</v>
      </c>
      <c r="T116" s="116">
        <v>79</v>
      </c>
      <c r="U116" s="116">
        <v>84.5</v>
      </c>
      <c r="V116" s="116">
        <v>65</v>
      </c>
      <c r="W116" s="116">
        <v>63</v>
      </c>
      <c r="X116" s="116">
        <v>52.9</v>
      </c>
      <c r="Y116" s="116">
        <v>74</v>
      </c>
      <c r="Z116" s="116">
        <v>43.3</v>
      </c>
      <c r="AA116" s="116">
        <v>57</v>
      </c>
      <c r="AB116" s="116">
        <v>67.099999999999994</v>
      </c>
      <c r="AC116" s="116">
        <v>46.1</v>
      </c>
      <c r="AD116" s="116">
        <v>38.799999999999997</v>
      </c>
      <c r="AE116" s="116">
        <v>33.299999999999997</v>
      </c>
      <c r="AF116" s="116">
        <v>34.299999999999997</v>
      </c>
      <c r="AG116" s="117"/>
      <c r="AH116" s="47">
        <f t="shared" si="8"/>
        <v>90.7</v>
      </c>
      <c r="AI116" s="48">
        <f t="shared" si="9"/>
        <v>33.299999999999997</v>
      </c>
    </row>
    <row r="117" spans="1:37" x14ac:dyDescent="0.25">
      <c r="A117" s="115" t="s">
        <v>125</v>
      </c>
      <c r="B117" s="116">
        <v>7</v>
      </c>
      <c r="C117" s="116">
        <v>3</v>
      </c>
      <c r="D117" s="116">
        <v>0</v>
      </c>
      <c r="E117" s="116">
        <v>0</v>
      </c>
      <c r="F117" s="116">
        <v>0</v>
      </c>
      <c r="G117" s="116">
        <v>0</v>
      </c>
      <c r="H117" s="116">
        <v>-4.5</v>
      </c>
      <c r="I117" s="116">
        <v>-4.5</v>
      </c>
      <c r="J117" s="116">
        <v>-4.5</v>
      </c>
      <c r="K117" s="116">
        <v>4.8</v>
      </c>
      <c r="L117" s="116">
        <v>3.5</v>
      </c>
      <c r="M117" s="116">
        <v>-10.9</v>
      </c>
      <c r="N117" s="116">
        <v>8.1</v>
      </c>
      <c r="O117" s="116">
        <v>0</v>
      </c>
      <c r="P117" s="116">
        <v>0</v>
      </c>
      <c r="Q117" s="116">
        <v>-3.1</v>
      </c>
      <c r="R117" s="116">
        <v>-1</v>
      </c>
      <c r="S117" s="116">
        <v>-5</v>
      </c>
      <c r="T117" s="116"/>
      <c r="U117" s="116">
        <v>-14.4</v>
      </c>
      <c r="V117" s="116">
        <v>-13.5</v>
      </c>
      <c r="W117" s="116">
        <v>-7</v>
      </c>
      <c r="X117" s="116"/>
      <c r="Y117" s="116">
        <v>3</v>
      </c>
      <c r="Z117" s="116">
        <v>18</v>
      </c>
      <c r="AA117" s="116"/>
      <c r="AB117" s="116">
        <v>-4.0999999999999996</v>
      </c>
      <c r="AC117" s="116">
        <v>-5.0999999999999996</v>
      </c>
      <c r="AD117" s="116"/>
      <c r="AE117" s="116"/>
      <c r="AF117" s="116"/>
      <c r="AG117" s="118"/>
      <c r="AH117" s="47">
        <f t="shared" si="8"/>
        <v>18</v>
      </c>
      <c r="AI117" s="48">
        <f t="shared" si="9"/>
        <v>-14.4</v>
      </c>
    </row>
    <row r="118" spans="1:37" x14ac:dyDescent="0.25">
      <c r="A118" s="119" t="s">
        <v>126</v>
      </c>
      <c r="B118" s="105">
        <v>2</v>
      </c>
      <c r="C118" s="105">
        <v>12</v>
      </c>
      <c r="D118" s="105">
        <v>14</v>
      </c>
      <c r="E118" s="105">
        <v>14</v>
      </c>
      <c r="F118" s="105">
        <v>14</v>
      </c>
      <c r="G118" s="105">
        <v>14</v>
      </c>
      <c r="H118" s="105">
        <v>24.5</v>
      </c>
      <c r="I118" s="105">
        <v>24.5</v>
      </c>
      <c r="J118" s="105">
        <v>24.5</v>
      </c>
      <c r="K118" s="105" t="s">
        <v>262</v>
      </c>
      <c r="L118" s="105">
        <v>28.4</v>
      </c>
      <c r="M118" s="105">
        <v>30</v>
      </c>
      <c r="N118" s="105">
        <v>22.8</v>
      </c>
      <c r="O118" s="105">
        <v>4.8</v>
      </c>
      <c r="P118" s="105">
        <v>13.1</v>
      </c>
      <c r="Q118" s="105">
        <v>19</v>
      </c>
      <c r="R118" s="105">
        <v>26.5</v>
      </c>
      <c r="S118" s="105">
        <v>25.3</v>
      </c>
      <c r="T118" s="105">
        <v>22.7</v>
      </c>
      <c r="U118" s="105">
        <v>27.6</v>
      </c>
      <c r="V118" s="105">
        <v>30</v>
      </c>
      <c r="W118" s="105">
        <v>28</v>
      </c>
      <c r="X118" s="105">
        <v>26.3</v>
      </c>
      <c r="Y118" s="105">
        <v>21.2</v>
      </c>
      <c r="Z118" s="105">
        <v>12.1</v>
      </c>
      <c r="AA118" s="105">
        <v>10.3</v>
      </c>
      <c r="AB118" s="105">
        <v>17</v>
      </c>
      <c r="AC118" s="105">
        <v>12.7</v>
      </c>
      <c r="AD118" s="105">
        <v>13</v>
      </c>
      <c r="AE118" s="105">
        <v>20.7</v>
      </c>
      <c r="AF118" s="105">
        <v>19.399999999999999</v>
      </c>
      <c r="AG118" s="118"/>
      <c r="AH118" s="47">
        <f t="shared" si="8"/>
        <v>30</v>
      </c>
      <c r="AI118" s="48">
        <f t="shared" si="9"/>
        <v>2</v>
      </c>
    </row>
    <row r="119" spans="1:37" x14ac:dyDescent="0.25">
      <c r="A119" s="120" t="s">
        <v>127</v>
      </c>
      <c r="B119" s="105">
        <v>85</v>
      </c>
      <c r="C119" s="105">
        <v>86</v>
      </c>
      <c r="D119" s="105">
        <v>84</v>
      </c>
      <c r="E119" s="105">
        <v>90</v>
      </c>
      <c r="F119" s="105">
        <v>87</v>
      </c>
      <c r="G119" s="105">
        <v>91.2</v>
      </c>
      <c r="H119" s="105">
        <v>92</v>
      </c>
      <c r="I119" s="105">
        <v>92</v>
      </c>
      <c r="J119" s="105">
        <v>92</v>
      </c>
      <c r="K119" s="105">
        <v>64.8</v>
      </c>
      <c r="L119" s="105">
        <v>66.599999999999994</v>
      </c>
      <c r="M119" s="105">
        <v>79.8</v>
      </c>
      <c r="N119" s="105">
        <v>54.5</v>
      </c>
      <c r="O119" s="105">
        <v>71.900000000000006</v>
      </c>
      <c r="P119" s="105">
        <v>77.8</v>
      </c>
      <c r="Q119" s="105">
        <v>70.099999999999994</v>
      </c>
      <c r="R119" s="105">
        <v>66.400000000000006</v>
      </c>
      <c r="S119" s="105">
        <v>74</v>
      </c>
      <c r="T119" s="105">
        <v>83.6</v>
      </c>
      <c r="U119" s="105">
        <v>58</v>
      </c>
      <c r="V119" s="105">
        <v>35</v>
      </c>
      <c r="W119" s="105">
        <v>29.4</v>
      </c>
      <c r="X119" s="105">
        <v>21.6</v>
      </c>
      <c r="Y119" s="105">
        <v>18</v>
      </c>
      <c r="Z119" s="105">
        <v>45.4</v>
      </c>
      <c r="AA119" s="105">
        <v>47</v>
      </c>
      <c r="AB119" s="105">
        <v>41.4</v>
      </c>
      <c r="AC119" s="105">
        <v>61.6</v>
      </c>
      <c r="AD119" s="105">
        <v>85.2</v>
      </c>
      <c r="AE119" s="105">
        <v>87</v>
      </c>
      <c r="AF119" s="105">
        <v>87.9</v>
      </c>
      <c r="AG119" s="118"/>
      <c r="AH119" s="47">
        <f t="shared" si="8"/>
        <v>92</v>
      </c>
      <c r="AI119" s="48">
        <f t="shared" si="9"/>
        <v>18</v>
      </c>
    </row>
    <row r="120" spans="1:37" ht="15.75" thickBot="1" x14ac:dyDescent="0.3">
      <c r="A120" s="119" t="s">
        <v>128</v>
      </c>
      <c r="B120" s="105">
        <v>59</v>
      </c>
      <c r="C120" s="105">
        <v>58</v>
      </c>
      <c r="D120" s="105">
        <v>52</v>
      </c>
      <c r="E120" s="105">
        <v>59</v>
      </c>
      <c r="F120" s="105">
        <v>49</v>
      </c>
      <c r="G120" s="105">
        <v>39</v>
      </c>
      <c r="H120" s="105">
        <v>28</v>
      </c>
      <c r="I120" s="105">
        <v>28</v>
      </c>
      <c r="J120" s="105">
        <v>28</v>
      </c>
      <c r="K120" s="105">
        <v>20.7</v>
      </c>
      <c r="L120" s="105">
        <v>17.3</v>
      </c>
      <c r="M120" s="105">
        <v>16.5</v>
      </c>
      <c r="N120" s="105">
        <v>18.5</v>
      </c>
      <c r="O120" s="105">
        <v>31.4</v>
      </c>
      <c r="P120" s="105">
        <v>42.7</v>
      </c>
      <c r="Q120" s="105">
        <v>36.299999999999997</v>
      </c>
      <c r="R120" s="105">
        <v>25.2</v>
      </c>
      <c r="S120" s="105">
        <v>32.299999999999997</v>
      </c>
      <c r="T120" s="105">
        <v>32</v>
      </c>
      <c r="U120" s="105">
        <v>24.5</v>
      </c>
      <c r="V120" s="105">
        <v>16</v>
      </c>
      <c r="W120" s="105">
        <v>18</v>
      </c>
      <c r="X120" s="105">
        <v>13.7</v>
      </c>
      <c r="Y120" s="105">
        <v>20</v>
      </c>
      <c r="Z120" s="105">
        <v>39</v>
      </c>
      <c r="AA120" s="105">
        <v>48</v>
      </c>
      <c r="AB120" s="105">
        <v>41.2</v>
      </c>
      <c r="AC120" s="105">
        <v>47.3</v>
      </c>
      <c r="AD120" s="105">
        <v>45.1</v>
      </c>
      <c r="AE120" s="105">
        <v>46.3</v>
      </c>
      <c r="AF120" s="105">
        <v>45.5</v>
      </c>
      <c r="AG120" s="118"/>
      <c r="AH120" s="47">
        <f t="shared" si="8"/>
        <v>59</v>
      </c>
      <c r="AI120" s="48">
        <f t="shared" si="9"/>
        <v>13.7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7">SUM(B122:B226)</f>
        <v>0</v>
      </c>
      <c r="C227" s="136">
        <f t="shared" si="17"/>
        <v>0</v>
      </c>
      <c r="D227" s="136">
        <f t="shared" si="17"/>
        <v>0</v>
      </c>
      <c r="E227" s="136">
        <f t="shared" si="17"/>
        <v>0</v>
      </c>
      <c r="F227" s="136">
        <f t="shared" si="17"/>
        <v>0</v>
      </c>
      <c r="G227" s="136">
        <f t="shared" si="17"/>
        <v>0</v>
      </c>
      <c r="H227" s="136">
        <f t="shared" si="17"/>
        <v>0</v>
      </c>
      <c r="I227" s="136">
        <f t="shared" si="17"/>
        <v>0</v>
      </c>
      <c r="J227" s="136">
        <f t="shared" si="17"/>
        <v>0</v>
      </c>
      <c r="K227" s="136">
        <f t="shared" si="17"/>
        <v>0</v>
      </c>
      <c r="L227" s="136">
        <f t="shared" si="17"/>
        <v>0</v>
      </c>
      <c r="M227" s="136">
        <f t="shared" si="17"/>
        <v>0</v>
      </c>
      <c r="N227" s="136">
        <f t="shared" si="17"/>
        <v>0</v>
      </c>
      <c r="O227" s="136">
        <f t="shared" si="17"/>
        <v>0</v>
      </c>
      <c r="P227" s="136">
        <f t="shared" si="17"/>
        <v>0</v>
      </c>
      <c r="Q227" s="136">
        <f t="shared" si="17"/>
        <v>0</v>
      </c>
      <c r="R227" s="136">
        <f t="shared" si="17"/>
        <v>0</v>
      </c>
      <c r="S227" s="136">
        <f t="shared" si="17"/>
        <v>0</v>
      </c>
      <c r="T227" s="136">
        <f t="shared" si="17"/>
        <v>0</v>
      </c>
      <c r="U227" s="136">
        <f t="shared" si="17"/>
        <v>0</v>
      </c>
      <c r="V227" s="136">
        <f t="shared" si="17"/>
        <v>0</v>
      </c>
      <c r="W227" s="136">
        <f t="shared" si="17"/>
        <v>0</v>
      </c>
      <c r="X227" s="136">
        <f t="shared" si="17"/>
        <v>0</v>
      </c>
      <c r="Y227" s="136">
        <f t="shared" si="17"/>
        <v>0</v>
      </c>
      <c r="Z227" s="136">
        <f t="shared" si="17"/>
        <v>0</v>
      </c>
      <c r="AA227" s="136">
        <f t="shared" si="17"/>
        <v>0</v>
      </c>
      <c r="AB227" s="136">
        <f t="shared" si="17"/>
        <v>0</v>
      </c>
      <c r="AC227" s="136">
        <f t="shared" si="17"/>
        <v>0</v>
      </c>
      <c r="AD227" s="136">
        <f t="shared" si="17"/>
        <v>0</v>
      </c>
      <c r="AE227" s="136">
        <f t="shared" si="17"/>
        <v>0</v>
      </c>
      <c r="AF227" s="137">
        <f t="shared" si="17"/>
        <v>0</v>
      </c>
      <c r="AG227" s="138">
        <f t="shared" si="1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8">AF229</f>
        <v>0</v>
      </c>
      <c r="C229" s="140">
        <v>0.3</v>
      </c>
      <c r="D229" s="140">
        <f t="shared" ref="D229:P234" si="19">C229</f>
        <v>0.3</v>
      </c>
      <c r="E229" s="140">
        <f t="shared" si="19"/>
        <v>0.3</v>
      </c>
      <c r="F229" s="140">
        <f t="shared" si="19"/>
        <v>0.3</v>
      </c>
      <c r="G229" s="140">
        <f t="shared" si="19"/>
        <v>0.3</v>
      </c>
      <c r="H229" s="140">
        <f t="shared" si="19"/>
        <v>0.3</v>
      </c>
      <c r="I229" s="140">
        <f t="shared" si="19"/>
        <v>0.3</v>
      </c>
      <c r="J229" s="140">
        <f t="shared" si="19"/>
        <v>0.3</v>
      </c>
      <c r="K229" s="140">
        <f t="shared" si="19"/>
        <v>0.3</v>
      </c>
      <c r="L229" s="140">
        <f t="shared" si="19"/>
        <v>0.3</v>
      </c>
      <c r="M229" s="140">
        <f t="shared" si="19"/>
        <v>0.3</v>
      </c>
      <c r="N229" s="140">
        <f t="shared" si="19"/>
        <v>0.3</v>
      </c>
      <c r="O229" s="140">
        <f t="shared" si="19"/>
        <v>0.3</v>
      </c>
      <c r="P229" s="140">
        <f t="shared" si="1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8"/>
        <v>0</v>
      </c>
      <c r="C230" s="128">
        <v>0.4</v>
      </c>
      <c r="D230" s="128">
        <f t="shared" si="19"/>
        <v>0.4</v>
      </c>
      <c r="E230" s="128">
        <f t="shared" si="19"/>
        <v>0.4</v>
      </c>
      <c r="F230" s="128">
        <f t="shared" si="19"/>
        <v>0.4</v>
      </c>
      <c r="G230" s="128">
        <f t="shared" si="19"/>
        <v>0.4</v>
      </c>
      <c r="H230" s="128">
        <f t="shared" si="19"/>
        <v>0.4</v>
      </c>
      <c r="I230" s="128">
        <f t="shared" si="19"/>
        <v>0.4</v>
      </c>
      <c r="J230" s="128">
        <f t="shared" si="19"/>
        <v>0.4</v>
      </c>
      <c r="K230" s="128">
        <f t="shared" si="19"/>
        <v>0.4</v>
      </c>
      <c r="L230" s="128">
        <f t="shared" si="19"/>
        <v>0.4</v>
      </c>
      <c r="M230" s="128">
        <f t="shared" si="19"/>
        <v>0.4</v>
      </c>
      <c r="N230" s="128">
        <f t="shared" si="19"/>
        <v>0.4</v>
      </c>
      <c r="O230" s="128">
        <f t="shared" si="19"/>
        <v>0.4</v>
      </c>
      <c r="P230" s="128">
        <f t="shared" si="1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8"/>
        <v>0</v>
      </c>
      <c r="C231" s="128">
        <v>1.5</v>
      </c>
      <c r="D231" s="128">
        <f t="shared" si="19"/>
        <v>1.5</v>
      </c>
      <c r="E231" s="128">
        <f t="shared" si="19"/>
        <v>1.5</v>
      </c>
      <c r="F231" s="128">
        <f t="shared" si="19"/>
        <v>1.5</v>
      </c>
      <c r="G231" s="128">
        <f t="shared" si="19"/>
        <v>1.5</v>
      </c>
      <c r="H231" s="128">
        <f t="shared" si="1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9"/>
        <v>123.21900000000009</v>
      </c>
      <c r="K231" s="128">
        <f t="shared" ca="1" si="19"/>
        <v>123.21900000000009</v>
      </c>
      <c r="L231" s="128">
        <f t="shared" ca="1" si="19"/>
        <v>123.21900000000009</v>
      </c>
      <c r="M231" s="128">
        <f t="shared" ca="1" si="19"/>
        <v>119.19900000000008</v>
      </c>
      <c r="N231" s="128">
        <f t="shared" ca="1" si="19"/>
        <v>119.19900000000008</v>
      </c>
      <c r="O231" s="128">
        <f t="shared" ca="1" si="19"/>
        <v>119.19900000000008</v>
      </c>
      <c r="P231" s="128">
        <f t="shared" ca="1" si="1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8"/>
        <v>0</v>
      </c>
      <c r="C232" s="128">
        <v>0.3</v>
      </c>
      <c r="D232" s="128">
        <f t="shared" si="19"/>
        <v>0.3</v>
      </c>
      <c r="E232" s="128">
        <f t="shared" si="19"/>
        <v>0.3</v>
      </c>
      <c r="F232" s="128">
        <f t="shared" si="19"/>
        <v>0.3</v>
      </c>
      <c r="G232" s="128">
        <f t="shared" si="19"/>
        <v>0.3</v>
      </c>
      <c r="H232" s="128">
        <f t="shared" si="19"/>
        <v>0.3</v>
      </c>
      <c r="I232" s="128">
        <f t="shared" si="19"/>
        <v>0.3</v>
      </c>
      <c r="J232" s="128">
        <f t="shared" si="19"/>
        <v>0.3</v>
      </c>
      <c r="K232" s="128">
        <f t="shared" si="19"/>
        <v>0.3</v>
      </c>
      <c r="L232" s="128">
        <f t="shared" si="19"/>
        <v>0.3</v>
      </c>
      <c r="M232" s="128">
        <f t="shared" si="19"/>
        <v>0.3</v>
      </c>
      <c r="N232" s="128">
        <f t="shared" si="19"/>
        <v>0.3</v>
      </c>
      <c r="O232" s="128">
        <f t="shared" si="19"/>
        <v>0.3</v>
      </c>
      <c r="P232" s="128">
        <f t="shared" si="1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8"/>
        <v>0</v>
      </c>
      <c r="C233" s="128">
        <v>0.4</v>
      </c>
      <c r="D233" s="128">
        <f t="shared" si="19"/>
        <v>0.4</v>
      </c>
      <c r="E233" s="128">
        <f t="shared" si="19"/>
        <v>0.4</v>
      </c>
      <c r="F233" s="128">
        <f t="shared" si="19"/>
        <v>0.4</v>
      </c>
      <c r="G233" s="128">
        <f t="shared" si="19"/>
        <v>0.4</v>
      </c>
      <c r="H233" s="128">
        <f t="shared" si="19"/>
        <v>0.4</v>
      </c>
      <c r="I233" s="128">
        <f t="shared" si="19"/>
        <v>0.4</v>
      </c>
      <c r="J233" s="128">
        <f t="shared" si="19"/>
        <v>0.4</v>
      </c>
      <c r="K233" s="128">
        <f t="shared" si="19"/>
        <v>0.4</v>
      </c>
      <c r="L233" s="128">
        <f t="shared" si="19"/>
        <v>0.4</v>
      </c>
      <c r="M233" s="128">
        <f t="shared" si="19"/>
        <v>0.4</v>
      </c>
      <c r="N233" s="128">
        <f t="shared" si="19"/>
        <v>0.4</v>
      </c>
      <c r="O233" s="128">
        <f t="shared" si="19"/>
        <v>0.4</v>
      </c>
      <c r="P233" s="128">
        <f t="shared" si="1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8"/>
        <v>0</v>
      </c>
      <c r="C234" s="132">
        <v>0.64</v>
      </c>
      <c r="D234" s="132">
        <f t="shared" si="19"/>
        <v>0.64</v>
      </c>
      <c r="E234" s="132">
        <f t="shared" si="19"/>
        <v>0.64</v>
      </c>
      <c r="F234" s="132">
        <f t="shared" si="19"/>
        <v>0.64</v>
      </c>
      <c r="G234" s="132">
        <f t="shared" si="19"/>
        <v>0.64</v>
      </c>
      <c r="H234" s="132">
        <f t="shared" si="19"/>
        <v>0.64</v>
      </c>
      <c r="I234" s="132">
        <f t="shared" si="19"/>
        <v>0.64</v>
      </c>
      <c r="J234" s="132">
        <f t="shared" si="19"/>
        <v>0.64</v>
      </c>
      <c r="K234" s="132">
        <f t="shared" si="19"/>
        <v>0.64</v>
      </c>
      <c r="L234" s="132">
        <f t="shared" si="19"/>
        <v>0.64</v>
      </c>
      <c r="M234" s="132">
        <f t="shared" si="19"/>
        <v>0.64</v>
      </c>
      <c r="N234" s="132">
        <f t="shared" si="19"/>
        <v>0.64</v>
      </c>
      <c r="O234" s="132">
        <f t="shared" si="19"/>
        <v>0.64</v>
      </c>
      <c r="P234" s="132">
        <f t="shared" si="1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0">SUM(B229:B234)</f>
        <v>0</v>
      </c>
      <c r="C235" s="136">
        <f t="shared" si="20"/>
        <v>3.54</v>
      </c>
      <c r="D235" s="136">
        <f t="shared" si="20"/>
        <v>3.54</v>
      </c>
      <c r="E235" s="136">
        <f t="shared" si="20"/>
        <v>3.54</v>
      </c>
      <c r="F235" s="136">
        <f t="shared" si="20"/>
        <v>3.54</v>
      </c>
      <c r="G235" s="136">
        <f t="shared" si="20"/>
        <v>3.54</v>
      </c>
      <c r="H235" s="136">
        <f t="shared" si="20"/>
        <v>3.54</v>
      </c>
      <c r="I235" s="136">
        <f t="shared" ca="1" si="20"/>
        <v>121.23900000000009</v>
      </c>
      <c r="J235" s="136">
        <f t="shared" ca="1" si="20"/>
        <v>121.23900000000009</v>
      </c>
      <c r="K235" s="136">
        <f t="shared" ca="1" si="20"/>
        <v>121.23900000000009</v>
      </c>
      <c r="L235" s="136">
        <f t="shared" ca="1" si="20"/>
        <v>125.2590000000001</v>
      </c>
      <c r="M235" s="136">
        <f t="shared" ca="1" si="20"/>
        <v>121.23900000000009</v>
      </c>
      <c r="N235" s="136">
        <f t="shared" ca="1" si="20"/>
        <v>121.23900000000009</v>
      </c>
      <c r="O235" s="136">
        <f t="shared" ca="1" si="20"/>
        <v>121.23900000000009</v>
      </c>
      <c r="P235" s="136">
        <f t="shared" ca="1" si="20"/>
        <v>121.23900000000009</v>
      </c>
      <c r="Q235" s="136">
        <f t="shared" si="20"/>
        <v>0</v>
      </c>
      <c r="R235" s="136">
        <f t="shared" si="20"/>
        <v>0</v>
      </c>
      <c r="S235" s="136">
        <f t="shared" si="20"/>
        <v>0</v>
      </c>
      <c r="T235" s="136">
        <f t="shared" si="20"/>
        <v>0</v>
      </c>
      <c r="U235" s="136">
        <f t="shared" si="20"/>
        <v>0</v>
      </c>
      <c r="V235" s="136">
        <f t="shared" si="20"/>
        <v>0</v>
      </c>
      <c r="W235" s="136">
        <f t="shared" si="20"/>
        <v>0</v>
      </c>
      <c r="X235" s="136">
        <f t="shared" si="20"/>
        <v>0</v>
      </c>
      <c r="Y235" s="136">
        <f t="shared" si="20"/>
        <v>0</v>
      </c>
      <c r="Z235" s="136">
        <f t="shared" si="20"/>
        <v>0</v>
      </c>
      <c r="AA235" s="136">
        <f t="shared" si="20"/>
        <v>0</v>
      </c>
      <c r="AB235" s="136">
        <f t="shared" si="20"/>
        <v>0</v>
      </c>
      <c r="AC235" s="136">
        <f t="shared" si="20"/>
        <v>0</v>
      </c>
      <c r="AD235" s="136">
        <f t="shared" si="20"/>
        <v>0</v>
      </c>
      <c r="AE235" s="136">
        <f t="shared" si="20"/>
        <v>0</v>
      </c>
      <c r="AF235" s="136">
        <f t="shared" si="20"/>
        <v>0</v>
      </c>
      <c r="AG235" s="145">
        <f t="shared" si="2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2011.24</v>
      </c>
      <c r="C244" s="161">
        <f>INDEX(G9:N9,1,MATCH(MAX(G91:N91),G91:N91,0))</f>
        <v>0.29166666666666669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1">B91</f>
        <v>2024.1399999999999</v>
      </c>
      <c r="U249" s="170">
        <f t="shared" si="21"/>
        <v>1942.1399999999999</v>
      </c>
      <c r="V249" s="170">
        <f t="shared" si="21"/>
        <v>1927.1399999999999</v>
      </c>
      <c r="W249" s="170">
        <f t="shared" si="21"/>
        <v>1942.1399999999999</v>
      </c>
      <c r="X249" s="170">
        <f t="shared" si="21"/>
        <v>1932.84</v>
      </c>
      <c r="Y249" s="170">
        <f t="shared" si="21"/>
        <v>1967.84</v>
      </c>
      <c r="Z249" s="170">
        <f t="shared" si="21"/>
        <v>1970.74</v>
      </c>
      <c r="AA249" s="170">
        <f t="shared" si="21"/>
        <v>1970.74</v>
      </c>
      <c r="AB249" s="170">
        <f t="shared" si="21"/>
        <v>1976.74</v>
      </c>
      <c r="AC249" s="170">
        <f t="shared" si="21"/>
        <v>2011.24</v>
      </c>
      <c r="AD249" s="170">
        <f t="shared" si="21"/>
        <v>1975.84</v>
      </c>
      <c r="AE249" s="170">
        <f t="shared" si="21"/>
        <v>1978.04</v>
      </c>
      <c r="AF249" s="170">
        <f t="shared" si="21"/>
        <v>1895.94</v>
      </c>
      <c r="AG249" s="170">
        <f t="shared" si="21"/>
        <v>1928.44</v>
      </c>
      <c r="AH249" s="170">
        <f t="shared" si="21"/>
        <v>1898.2399999999998</v>
      </c>
      <c r="AI249" s="170">
        <f t="shared" si="21"/>
        <v>1868.7399999999998</v>
      </c>
      <c r="AJ249" s="170">
        <f t="shared" si="21"/>
        <v>1903.8399999999997</v>
      </c>
      <c r="AK249" s="170">
        <f t="shared" si="21"/>
        <v>1903.14</v>
      </c>
      <c r="AL249" s="170">
        <f t="shared" si="21"/>
        <v>1913.0400000000002</v>
      </c>
      <c r="AM249" s="170">
        <f t="shared" si="21"/>
        <v>1860.94</v>
      </c>
      <c r="AN249" s="170">
        <f t="shared" si="21"/>
        <v>1847.1399999999999</v>
      </c>
      <c r="AO249" s="170">
        <f t="shared" si="21"/>
        <v>1922.74</v>
      </c>
      <c r="AP249" s="170">
        <f t="shared" si="21"/>
        <v>1892.6399999999999</v>
      </c>
      <c r="AQ249" s="170">
        <f t="shared" si="21"/>
        <v>1917.74</v>
      </c>
      <c r="AR249" s="170">
        <f t="shared" si="21"/>
        <v>2022.5400000000002</v>
      </c>
      <c r="AS249" s="170">
        <f t="shared" si="21"/>
        <v>2043.6</v>
      </c>
      <c r="AT249" s="170">
        <f t="shared" si="21"/>
        <v>2034.8400000000001</v>
      </c>
      <c r="AU249" s="170">
        <f t="shared" si="21"/>
        <v>2058.34</v>
      </c>
      <c r="AV249" s="170">
        <f t="shared" si="21"/>
        <v>2055.2400000000002</v>
      </c>
      <c r="AW249" s="170">
        <f t="shared" si="21"/>
        <v>2028.64</v>
      </c>
      <c r="AX249" s="170">
        <f t="shared" si="21"/>
        <v>2000.34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2">C234</f>
        <v>0.64</v>
      </c>
      <c r="C270" s="173">
        <f t="shared" si="22"/>
        <v>0.64</v>
      </c>
      <c r="D270" s="173">
        <f t="shared" si="22"/>
        <v>0.64</v>
      </c>
      <c r="E270" s="173">
        <f t="shared" si="22"/>
        <v>0.64</v>
      </c>
      <c r="F270" s="173">
        <f t="shared" si="22"/>
        <v>0.64</v>
      </c>
      <c r="G270" s="173">
        <f t="shared" si="22"/>
        <v>0.64</v>
      </c>
      <c r="H270" s="173">
        <f t="shared" si="22"/>
        <v>0.64</v>
      </c>
      <c r="I270" s="173">
        <f t="shared" si="22"/>
        <v>0.64</v>
      </c>
      <c r="J270" s="173">
        <f t="shared" si="22"/>
        <v>0.64</v>
      </c>
      <c r="K270" s="173">
        <f t="shared" si="22"/>
        <v>0.64</v>
      </c>
      <c r="L270" s="173">
        <f t="shared" si="22"/>
        <v>0.64</v>
      </c>
      <c r="M270" s="173">
        <f t="shared" si="22"/>
        <v>0.64</v>
      </c>
      <c r="N270" s="173">
        <f t="shared" si="22"/>
        <v>0.64</v>
      </c>
      <c r="O270" s="173">
        <f t="shared" si="22"/>
        <v>0.64</v>
      </c>
      <c r="P270" s="173">
        <f t="shared" si="22"/>
        <v>0</v>
      </c>
      <c r="Q270" s="173">
        <f t="shared" si="22"/>
        <v>0</v>
      </c>
      <c r="R270" s="173">
        <f t="shared" si="22"/>
        <v>0</v>
      </c>
      <c r="S270" s="173">
        <f t="shared" si="22"/>
        <v>0</v>
      </c>
      <c r="T270" s="173">
        <f t="shared" si="22"/>
        <v>0</v>
      </c>
      <c r="U270" s="173">
        <f t="shared" si="22"/>
        <v>0</v>
      </c>
      <c r="V270" s="173">
        <f t="shared" si="22"/>
        <v>0</v>
      </c>
      <c r="W270" s="173">
        <f t="shared" si="22"/>
        <v>0</v>
      </c>
      <c r="X270" s="173">
        <f t="shared" si="22"/>
        <v>0</v>
      </c>
      <c r="Y270" s="173">
        <f t="shared" si="22"/>
        <v>0</v>
      </c>
      <c r="Z270" s="173">
        <f t="shared" si="22"/>
        <v>0</v>
      </c>
      <c r="AA270" s="173">
        <f t="shared" si="22"/>
        <v>0</v>
      </c>
      <c r="AB270" s="173">
        <f t="shared" si="22"/>
        <v>0</v>
      </c>
      <c r="AC270" s="173">
        <f t="shared" si="22"/>
        <v>0</v>
      </c>
      <c r="AD270" s="173">
        <f t="shared" si="22"/>
        <v>0</v>
      </c>
      <c r="AE270" s="173">
        <f t="shared" si="2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3">IF(B238&lt;100,"",B238-520)</f>
        <v/>
      </c>
      <c r="C271" s="174" t="str">
        <f t="shared" si="23"/>
        <v/>
      </c>
      <c r="D271" s="174" t="str">
        <f t="shared" si="23"/>
        <v/>
      </c>
      <c r="E271" s="174" t="str">
        <f t="shared" si="23"/>
        <v/>
      </c>
      <c r="F271" s="174" t="str">
        <f t="shared" si="23"/>
        <v/>
      </c>
      <c r="G271" s="174" t="str">
        <f t="shared" si="23"/>
        <v/>
      </c>
      <c r="H271" s="174" t="str">
        <f t="shared" si="23"/>
        <v/>
      </c>
      <c r="I271" s="174" t="str">
        <f t="shared" si="23"/>
        <v/>
      </c>
      <c r="J271" s="174" t="str">
        <f t="shared" si="23"/>
        <v/>
      </c>
      <c r="K271" s="174" t="str">
        <f t="shared" si="23"/>
        <v/>
      </c>
      <c r="L271" s="174" t="str">
        <f t="shared" si="23"/>
        <v/>
      </c>
      <c r="M271" s="174" t="str">
        <f t="shared" si="23"/>
        <v/>
      </c>
      <c r="N271" s="174" t="str">
        <f t="shared" si="23"/>
        <v/>
      </c>
      <c r="O271" s="174" t="str">
        <f t="shared" si="23"/>
        <v/>
      </c>
      <c r="P271" s="174" t="str">
        <f t="shared" si="23"/>
        <v/>
      </c>
      <c r="Q271" s="174" t="str">
        <f t="shared" si="23"/>
        <v/>
      </c>
      <c r="R271" s="174" t="str">
        <f t="shared" si="23"/>
        <v/>
      </c>
      <c r="S271" s="174" t="str">
        <f t="shared" si="23"/>
        <v/>
      </c>
      <c r="T271" s="174" t="str">
        <f t="shared" si="23"/>
        <v/>
      </c>
      <c r="U271" s="174" t="str">
        <f t="shared" si="23"/>
        <v/>
      </c>
      <c r="V271" s="174" t="str">
        <f t="shared" si="23"/>
        <v/>
      </c>
      <c r="W271" s="174" t="str">
        <f t="shared" si="23"/>
        <v/>
      </c>
      <c r="X271" s="174" t="str">
        <f t="shared" si="23"/>
        <v/>
      </c>
      <c r="Y271" s="174" t="str">
        <f t="shared" si="23"/>
        <v/>
      </c>
      <c r="Z271" s="174" t="str">
        <f t="shared" si="23"/>
        <v/>
      </c>
      <c r="AA271" s="174" t="str">
        <f t="shared" si="23"/>
        <v/>
      </c>
      <c r="AB271" s="174" t="str">
        <f t="shared" si="23"/>
        <v/>
      </c>
      <c r="AC271" s="174" t="str">
        <f t="shared" si="23"/>
        <v/>
      </c>
      <c r="AD271" s="174" t="str">
        <f t="shared" si="23"/>
        <v/>
      </c>
      <c r="AE271" s="174" t="str">
        <f t="shared" si="23"/>
        <v/>
      </c>
      <c r="AF271" s="174" t="str">
        <f t="shared" si="2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4">IF(B239&lt;100,"",B239-620)</f>
        <v/>
      </c>
      <c r="C272" s="174" t="str">
        <f t="shared" si="24"/>
        <v/>
      </c>
      <c r="D272" s="174" t="str">
        <f t="shared" si="24"/>
        <v/>
      </c>
      <c r="E272" s="174" t="str">
        <f t="shared" si="24"/>
        <v/>
      </c>
      <c r="F272" s="174" t="str">
        <f t="shared" si="24"/>
        <v/>
      </c>
      <c r="G272" s="174" t="str">
        <f t="shared" si="24"/>
        <v/>
      </c>
      <c r="H272" s="174" t="str">
        <f t="shared" si="24"/>
        <v/>
      </c>
      <c r="I272" s="174" t="str">
        <f t="shared" si="24"/>
        <v/>
      </c>
      <c r="J272" s="174" t="str">
        <f t="shared" si="24"/>
        <v/>
      </c>
      <c r="K272" s="174" t="str">
        <f t="shared" si="24"/>
        <v/>
      </c>
      <c r="L272" s="174" t="str">
        <f t="shared" si="24"/>
        <v/>
      </c>
      <c r="M272" s="174" t="str">
        <f t="shared" si="24"/>
        <v/>
      </c>
      <c r="N272" s="174" t="str">
        <f t="shared" si="24"/>
        <v/>
      </c>
      <c r="O272" s="174" t="str">
        <f t="shared" si="24"/>
        <v/>
      </c>
      <c r="P272" s="174" t="str">
        <f t="shared" si="24"/>
        <v/>
      </c>
      <c r="Q272" s="174" t="str">
        <f t="shared" si="24"/>
        <v/>
      </c>
      <c r="R272" s="174" t="str">
        <f t="shared" si="24"/>
        <v/>
      </c>
      <c r="S272" s="174" t="str">
        <f t="shared" si="24"/>
        <v/>
      </c>
      <c r="T272" s="174" t="str">
        <f t="shared" si="24"/>
        <v/>
      </c>
      <c r="U272" s="174" t="str">
        <f t="shared" si="24"/>
        <v/>
      </c>
      <c r="V272" s="174" t="str">
        <f t="shared" si="24"/>
        <v/>
      </c>
      <c r="W272" s="174" t="str">
        <f t="shared" si="24"/>
        <v/>
      </c>
      <c r="X272" s="174" t="str">
        <f t="shared" si="24"/>
        <v/>
      </c>
      <c r="Y272" s="174" t="str">
        <f t="shared" si="24"/>
        <v/>
      </c>
      <c r="Z272" s="174" t="str">
        <f t="shared" si="24"/>
        <v/>
      </c>
      <c r="AA272" s="174" t="str">
        <f t="shared" si="24"/>
        <v/>
      </c>
      <c r="AB272" s="174" t="str">
        <f t="shared" si="24"/>
        <v/>
      </c>
      <c r="AC272" s="174" t="str">
        <f t="shared" si="24"/>
        <v/>
      </c>
      <c r="AD272" s="174" t="str">
        <f t="shared" si="24"/>
        <v/>
      </c>
      <c r="AE272" s="174" t="str">
        <f t="shared" si="24"/>
        <v/>
      </c>
      <c r="AF272" s="174" t="str">
        <f t="shared" si="2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5">IF(B240&lt;100,"",B240-330)</f>
        <v/>
      </c>
      <c r="C273" s="174" t="str">
        <f t="shared" si="25"/>
        <v/>
      </c>
      <c r="D273" s="174" t="str">
        <f t="shared" si="25"/>
        <v/>
      </c>
      <c r="E273" s="174" t="str">
        <f t="shared" si="25"/>
        <v/>
      </c>
      <c r="F273" s="174" t="str">
        <f t="shared" si="25"/>
        <v/>
      </c>
      <c r="G273" s="174" t="str">
        <f t="shared" si="25"/>
        <v/>
      </c>
      <c r="H273" s="174" t="str">
        <f t="shared" si="25"/>
        <v/>
      </c>
      <c r="I273" s="174" t="str">
        <f t="shared" si="25"/>
        <v/>
      </c>
      <c r="J273" s="174" t="str">
        <f t="shared" si="25"/>
        <v/>
      </c>
      <c r="K273" s="174" t="str">
        <f t="shared" si="25"/>
        <v/>
      </c>
      <c r="L273" s="174" t="str">
        <f t="shared" si="25"/>
        <v/>
      </c>
      <c r="M273" s="174" t="str">
        <f t="shared" si="25"/>
        <v/>
      </c>
      <c r="N273" s="174" t="str">
        <f t="shared" si="25"/>
        <v/>
      </c>
      <c r="O273" s="174" t="str">
        <f t="shared" si="25"/>
        <v/>
      </c>
      <c r="P273" s="174" t="str">
        <f t="shared" si="25"/>
        <v/>
      </c>
      <c r="Q273" s="174" t="str">
        <f t="shared" si="25"/>
        <v/>
      </c>
      <c r="R273" s="174" t="str">
        <f t="shared" si="25"/>
        <v/>
      </c>
      <c r="S273" s="174" t="str">
        <f t="shared" si="25"/>
        <v/>
      </c>
      <c r="T273" s="174" t="str">
        <f t="shared" si="25"/>
        <v/>
      </c>
      <c r="U273" s="174" t="str">
        <f t="shared" si="25"/>
        <v/>
      </c>
      <c r="V273" s="174" t="str">
        <f t="shared" si="25"/>
        <v/>
      </c>
      <c r="W273" s="174" t="str">
        <f t="shared" si="25"/>
        <v/>
      </c>
      <c r="X273" s="174" t="str">
        <f t="shared" si="25"/>
        <v/>
      </c>
      <c r="Y273" s="174" t="str">
        <f t="shared" si="25"/>
        <v/>
      </c>
      <c r="Z273" s="174" t="str">
        <f t="shared" si="25"/>
        <v/>
      </c>
      <c r="AA273" s="174" t="str">
        <f t="shared" si="25"/>
        <v/>
      </c>
      <c r="AB273" s="174" t="str">
        <f t="shared" si="25"/>
        <v/>
      </c>
      <c r="AC273" s="174" t="str">
        <f t="shared" si="25"/>
        <v/>
      </c>
      <c r="AD273" s="174" t="str">
        <f t="shared" si="25"/>
        <v/>
      </c>
      <c r="AE273" s="174" t="str">
        <f t="shared" si="25"/>
        <v/>
      </c>
      <c r="AF273" s="174" t="str">
        <f t="shared" si="2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6">IF(B241&lt;100,"",B241-1500)</f>
        <v/>
      </c>
      <c r="C274" s="174" t="str">
        <f t="shared" si="26"/>
        <v/>
      </c>
      <c r="D274" s="174" t="str">
        <f t="shared" si="26"/>
        <v/>
      </c>
      <c r="E274" s="174" t="str">
        <f t="shared" si="26"/>
        <v/>
      </c>
      <c r="F274" s="174" t="str">
        <f t="shared" si="26"/>
        <v/>
      </c>
      <c r="G274" s="174" t="str">
        <f t="shared" si="26"/>
        <v/>
      </c>
      <c r="H274" s="174" t="str">
        <f t="shared" si="26"/>
        <v/>
      </c>
      <c r="I274" s="174" t="str">
        <f t="shared" si="26"/>
        <v/>
      </c>
      <c r="J274" s="174" t="str">
        <f t="shared" si="26"/>
        <v/>
      </c>
      <c r="K274" s="174" t="str">
        <f t="shared" si="26"/>
        <v/>
      </c>
      <c r="L274" s="174" t="str">
        <f t="shared" si="26"/>
        <v/>
      </c>
      <c r="M274" s="174" t="str">
        <f t="shared" si="26"/>
        <v/>
      </c>
      <c r="N274" s="174" t="str">
        <f t="shared" si="26"/>
        <v/>
      </c>
      <c r="O274" s="174" t="str">
        <f t="shared" si="26"/>
        <v/>
      </c>
      <c r="P274" s="174" t="str">
        <f t="shared" si="26"/>
        <v/>
      </c>
      <c r="Q274" s="174" t="str">
        <f t="shared" si="26"/>
        <v/>
      </c>
      <c r="R274" s="174" t="str">
        <f t="shared" si="26"/>
        <v/>
      </c>
      <c r="S274" s="174" t="str">
        <f t="shared" si="26"/>
        <v/>
      </c>
      <c r="T274" s="174" t="str">
        <f t="shared" si="26"/>
        <v/>
      </c>
      <c r="U274" s="174" t="str">
        <f t="shared" si="26"/>
        <v/>
      </c>
      <c r="V274" s="174" t="str">
        <f t="shared" si="26"/>
        <v/>
      </c>
      <c r="W274" s="174" t="str">
        <f t="shared" si="26"/>
        <v/>
      </c>
      <c r="X274" s="174" t="str">
        <f t="shared" si="26"/>
        <v/>
      </c>
      <c r="Y274" s="174" t="str">
        <f t="shared" si="26"/>
        <v/>
      </c>
      <c r="Z274" s="174" t="str">
        <f t="shared" si="26"/>
        <v/>
      </c>
      <c r="AA274" s="174" t="str">
        <f t="shared" si="26"/>
        <v/>
      </c>
      <c r="AB274" s="174" t="str">
        <f t="shared" si="26"/>
        <v/>
      </c>
      <c r="AC274" s="174" t="str">
        <f t="shared" si="26"/>
        <v/>
      </c>
      <c r="AD274" s="174" t="str">
        <f t="shared" si="26"/>
        <v/>
      </c>
      <c r="AE274" s="174" t="str">
        <f t="shared" si="26"/>
        <v/>
      </c>
      <c r="AF274" s="174" t="str">
        <f t="shared" si="2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3868" priority="64">
      <formula>$AH11=0</formula>
    </cfRule>
  </conditionalFormatting>
  <conditionalFormatting sqref="B8 M8 S8 AB8">
    <cfRule type="expression" dxfId="3867" priority="116">
      <formula>AND(C$9&gt;=8/24,C$9&lt;14/24)</formula>
    </cfRule>
    <cfRule type="expression" dxfId="3866" priority="117">
      <formula>C$9&lt;8/24</formula>
    </cfRule>
    <cfRule type="expression" dxfId="3865" priority="115">
      <formula>AND(C$9&gt;=14/24,C$9&lt;20/24)</formula>
    </cfRule>
  </conditionalFormatting>
  <conditionalFormatting sqref="B54:C54">
    <cfRule type="expression" dxfId="3864" priority="41">
      <formula>B$9&lt;8/24</formula>
    </cfRule>
    <cfRule type="expression" dxfId="3863" priority="40">
      <formula>AND(B$9&gt;=8/24,B$9&lt;14/24)</formula>
    </cfRule>
    <cfRule type="expression" dxfId="3862" priority="39">
      <formula>AND(B$9&gt;=14/24,B$9&lt;20/24)</formula>
    </cfRule>
    <cfRule type="expression" dxfId="3861" priority="38">
      <formula>B$9&gt;=20/24</formula>
    </cfRule>
  </conditionalFormatting>
  <conditionalFormatting sqref="B54:C66 M61:Z66">
    <cfRule type="expression" dxfId="3860" priority="33">
      <formula>B54&gt;$AG54</formula>
    </cfRule>
  </conditionalFormatting>
  <conditionalFormatting sqref="B55:Z60">
    <cfRule type="expression" dxfId="3859" priority="53">
      <formula>AND(B$9&gt;=8/24,B$9&lt;14/24)</formula>
    </cfRule>
    <cfRule type="expression" dxfId="3858" priority="51">
      <formula>B$9&gt;=20/24</formula>
    </cfRule>
    <cfRule type="expression" dxfId="3857" priority="54">
      <formula>B$9&lt;8/24</formula>
    </cfRule>
    <cfRule type="expression" dxfId="3856" priority="52">
      <formula>AND(B$9&gt;=14/24,B$9&lt;20/24)</formula>
    </cfRule>
  </conditionalFormatting>
  <conditionalFormatting sqref="B9:AF45">
    <cfRule type="expression" dxfId="3855" priority="26">
      <formula>B$9&lt;8/24</formula>
    </cfRule>
    <cfRule type="expression" dxfId="3854" priority="23">
      <formula>B$9&gt;=20/24</formula>
    </cfRule>
    <cfRule type="expression" dxfId="3853" priority="24">
      <formula>AND(B$9&gt;=14/24,B$9&lt;20/24)</formula>
    </cfRule>
    <cfRule type="expression" dxfId="3852" priority="25">
      <formula>AND(B$9&gt;=8/24,B$9&lt;14/24)</formula>
    </cfRule>
  </conditionalFormatting>
  <conditionalFormatting sqref="B11:AF46">
    <cfRule type="expression" dxfId="3851" priority="22">
      <formula>B11&gt;$AG11</formula>
    </cfRule>
  </conditionalFormatting>
  <conditionalFormatting sqref="B46:AF46">
    <cfRule type="expression" dxfId="3850" priority="18">
      <formula>B$9&gt;=20/24</formula>
    </cfRule>
    <cfRule type="expression" dxfId="3849" priority="19">
      <formula>AND(B$9&gt;=14/24,B$9&lt;20/24)</formula>
    </cfRule>
    <cfRule type="expression" dxfId="3848" priority="20">
      <formula>AND(B$9&gt;=8/24,B$9&lt;14/24)</formula>
    </cfRule>
    <cfRule type="expression" dxfId="3847" priority="21">
      <formula>B$9&lt;8/24</formula>
    </cfRule>
  </conditionalFormatting>
  <conditionalFormatting sqref="B47:AF47">
    <cfRule type="expression" dxfId="3846" priority="32">
      <formula>B47&gt;$AG47</formula>
    </cfRule>
  </conditionalFormatting>
  <conditionalFormatting sqref="B47:AF49">
    <cfRule type="expression" dxfId="3845" priority="30">
      <formula>AND(B$9&gt;=8/24,B$9&lt;14/24)</formula>
    </cfRule>
    <cfRule type="expression" dxfId="3844" priority="28">
      <formula>B$9&gt;=20/24</formula>
    </cfRule>
    <cfRule type="expression" dxfId="3843" priority="29">
      <formula>AND(B$9&gt;=14/24,B$9&lt;20/24)</formula>
    </cfRule>
    <cfRule type="expression" dxfId="3842" priority="31">
      <formula>B$9&lt;8/24</formula>
    </cfRule>
  </conditionalFormatting>
  <conditionalFormatting sqref="B48:AF53">
    <cfRule type="expression" dxfId="3841" priority="27">
      <formula>B48&gt;$AG48</formula>
    </cfRule>
  </conditionalFormatting>
  <conditionalFormatting sqref="B51:AF53">
    <cfRule type="expression" dxfId="3840" priority="49">
      <formula>AND(B$9&gt;=8/24,B$9&lt;14/24)</formula>
    </cfRule>
    <cfRule type="expression" dxfId="3839" priority="48">
      <formula>AND(B$9&gt;=14/24,B$9&lt;20/24)</formula>
    </cfRule>
    <cfRule type="expression" dxfId="3838" priority="47">
      <formula>B$9&gt;=20/24</formula>
    </cfRule>
    <cfRule type="expression" dxfId="3837" priority="50">
      <formula>B$9&lt;8/24</formula>
    </cfRule>
  </conditionalFormatting>
  <conditionalFormatting sqref="B61:AF66">
    <cfRule type="expression" dxfId="3836" priority="37">
      <formula>B$9&lt;8/24</formula>
    </cfRule>
    <cfRule type="expression" dxfId="3835" priority="35">
      <formula>AND(B$9&gt;=14/24,B$9&lt;20/24)</formula>
    </cfRule>
    <cfRule type="expression" dxfId="3834" priority="36">
      <formula>AND(B$9&gt;=8/24,B$9&lt;14/24)</formula>
    </cfRule>
    <cfRule type="expression" dxfId="3833" priority="34">
      <formula>B$9&gt;=20/24</formula>
    </cfRule>
  </conditionalFormatting>
  <conditionalFormatting sqref="B69:AF71">
    <cfRule type="expression" dxfId="3832" priority="55">
      <formula>B69&gt;$AG69</formula>
    </cfRule>
    <cfRule type="expression" dxfId="3831" priority="59">
      <formula>B$9&lt;8/24</formula>
    </cfRule>
    <cfRule type="expression" dxfId="3830" priority="56">
      <formula>B$9&gt;=20/24</formula>
    </cfRule>
    <cfRule type="expression" dxfId="3829" priority="58">
      <formula>AND(B$9&gt;=8/24,B$9&lt;14/24)</formula>
    </cfRule>
    <cfRule type="expression" dxfId="3828" priority="57">
      <formula>AND(B$9&gt;=14/24,B$9&lt;20/24)</formula>
    </cfRule>
  </conditionalFormatting>
  <conditionalFormatting sqref="B73:AF91">
    <cfRule type="expression" dxfId="3827" priority="4">
      <formula>B$9&lt;8/24</formula>
    </cfRule>
    <cfRule type="expression" dxfId="3826" priority="3">
      <formula>AND(B$9&gt;=8/24,B$9&lt;14/24)</formula>
    </cfRule>
    <cfRule type="expression" dxfId="3825" priority="1">
      <formula>B$9&gt;=20/24</formula>
    </cfRule>
    <cfRule type="expression" dxfId="3824" priority="2">
      <formula>AND(B$9&gt;=14/24,B$9&lt;20/24)</formula>
    </cfRule>
  </conditionalFormatting>
  <conditionalFormatting sqref="B111:AF120">
    <cfRule type="expression" dxfId="3823" priority="15">
      <formula>AND(B$9&gt;=14/24,B$9&lt;20/24)</formula>
    </cfRule>
    <cfRule type="expression" dxfId="3822" priority="14">
      <formula>B$9&gt;=20/24</formula>
    </cfRule>
    <cfRule type="expression" dxfId="3821" priority="17">
      <formula>B$9&lt;8/24</formula>
    </cfRule>
    <cfRule type="expression" dxfId="3820" priority="16">
      <formula>AND(B$9&gt;=8/24,B$9&lt;14/24)</formula>
    </cfRule>
  </conditionalFormatting>
  <conditionalFormatting sqref="B227:AF227 D229:AF230 B229:B235 D231:H231 J231:AF231 D232:AF235 U248:AF248">
    <cfRule type="expression" dxfId="3819" priority="109">
      <formula>AND(B$9&gt;=14/24,B$9&lt;20/24)</formula>
    </cfRule>
    <cfRule type="expression" dxfId="3818" priority="110">
      <formula>AND(B$9&gt;=8/24,B$9&lt;14/24)</formula>
    </cfRule>
    <cfRule type="expression" dxfId="3817" priority="111">
      <formula>B$9&lt;8/24</formula>
    </cfRule>
    <cfRule type="expression" dxfId="3816" priority="108">
      <formula>B$9&gt;=20/24</formula>
    </cfRule>
  </conditionalFormatting>
  <conditionalFormatting sqref="B67:AG68 B72:AG72">
    <cfRule type="expression" dxfId="3815" priority="42">
      <formula>B67&gt;$AG67</formula>
    </cfRule>
  </conditionalFormatting>
  <conditionalFormatting sqref="B72:AG72 B93:AF109">
    <cfRule type="expression" dxfId="3814" priority="46">
      <formula>B$9&lt;8/24</formula>
    </cfRule>
    <cfRule type="expression" dxfId="3813" priority="43">
      <formula>B$9&gt;=20/24</formula>
    </cfRule>
    <cfRule type="expression" dxfId="3812" priority="44">
      <formula>AND(B$9&gt;=14/24,B$9&lt;20/24)</formula>
    </cfRule>
    <cfRule type="expression" dxfId="3811" priority="45">
      <formula>AND(B$9&gt;=8/24,B$9&lt;14/24)</formula>
    </cfRule>
  </conditionalFormatting>
  <conditionalFormatting sqref="D55:AF66">
    <cfRule type="expression" dxfId="3810" priority="5">
      <formula>D55&gt;$AG55</formula>
    </cfRule>
  </conditionalFormatting>
  <conditionalFormatting sqref="D54:AG54">
    <cfRule type="expression" dxfId="3809" priority="78">
      <formula>AND(D$9&gt;=14/24,D$9&lt;20/24)</formula>
    </cfRule>
    <cfRule type="expression" dxfId="3808" priority="77">
      <formula>D$9&gt;=20/24</formula>
    </cfRule>
    <cfRule type="expression" dxfId="3807" priority="76">
      <formula>D54&gt;$AG54</formula>
    </cfRule>
    <cfRule type="expression" dxfId="3806" priority="79">
      <formula>AND(D$9&gt;=8/24,D$9&lt;14/24)</formula>
    </cfRule>
    <cfRule type="expression" dxfId="3805" priority="80">
      <formula>D$9&lt;8/24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804" priority="114">
      <formula>C$9&gt;=20/24</formula>
    </cfRule>
  </conditionalFormatting>
  <conditionalFormatting sqref="S8">
    <cfRule type="expression" dxfId="3803" priority="101">
      <formula>U$9&gt;=20/24</formula>
    </cfRule>
    <cfRule type="expression" dxfId="3802" priority="102">
      <formula>AND(U$9&gt;=14/24,U$9&lt;20/24)</formula>
    </cfRule>
    <cfRule type="expression" dxfId="3801" priority="104">
      <formula>U$9&lt;8/24</formula>
    </cfRule>
    <cfRule type="expression" dxfId="3800" priority="103">
      <formula>AND(U$9&gt;=8/24,U$9&lt;14/24)</formula>
    </cfRule>
  </conditionalFormatting>
  <conditionalFormatting sqref="S55:AF60">
    <cfRule type="expression" dxfId="3799" priority="12">
      <formula>AND(S$9&gt;=8/24,S$9&lt;14/24)</formula>
    </cfRule>
    <cfRule type="expression" dxfId="3798" priority="10">
      <formula>S$9&gt;=20/24</formula>
    </cfRule>
    <cfRule type="expression" dxfId="3797" priority="11">
      <formula>AND(S$9&gt;=14/24,S$9&lt;20/24)</formula>
    </cfRule>
    <cfRule type="expression" dxfId="3796" priority="13">
      <formula>S$9&lt;8/24</formula>
    </cfRule>
  </conditionalFormatting>
  <conditionalFormatting sqref="T248">
    <cfRule type="expression" dxfId="3795" priority="129">
      <formula>AX$9&lt;8/24</formula>
    </cfRule>
    <cfRule type="expression" dxfId="3794" priority="126">
      <formula>AX$9&gt;=20/24</formula>
    </cfRule>
    <cfRule type="expression" dxfId="3793" priority="127">
      <formula>AND(AX$9&gt;=14/24,AX$9&lt;20/24)</formula>
    </cfRule>
    <cfRule type="expression" dxfId="3792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791" priority="100">
      <formula>AD$9&lt;8/24</formula>
    </cfRule>
    <cfRule type="expression" dxfId="3790" priority="99">
      <formula>AND(AD$9&gt;=8/24,AD$9&lt;14/24)</formula>
    </cfRule>
    <cfRule type="expression" dxfId="3789" priority="98">
      <formula>AND(AD$9&gt;=14/24,AD$9&lt;20/24)</formula>
    </cfRule>
    <cfRule type="expression" dxfId="3788" priority="97">
      <formula>AD$9&gt;=20/24</formula>
    </cfRule>
  </conditionalFormatting>
  <conditionalFormatting sqref="AG50">
    <cfRule type="expression" dxfId="3787" priority="84">
      <formula>AG50&gt;$AG50</formula>
    </cfRule>
  </conditionalFormatting>
  <conditionalFormatting sqref="AG89">
    <cfRule type="expression" dxfId="3786" priority="85">
      <formula>AG$9&gt;=20/24</formula>
    </cfRule>
    <cfRule type="expression" dxfId="3785" priority="86">
      <formula>AND(AG$9&gt;=14/24,AG$9&lt;20/24)</formula>
    </cfRule>
    <cfRule type="expression" dxfId="3784" priority="88">
      <formula>AG$9&lt;8/24</formula>
    </cfRule>
    <cfRule type="expression" dxfId="3783" priority="87">
      <formula>AND(AG$9&gt;=8/24,AG$9&lt;14/24)</formula>
    </cfRule>
  </conditionalFormatting>
  <conditionalFormatting sqref="AG248">
    <cfRule type="expression" dxfId="3782" priority="120">
      <formula>AND(B$9&gt;=8/24,B$9&lt;14/24)</formula>
    </cfRule>
    <cfRule type="expression" dxfId="3781" priority="119">
      <formula>AND(B$9&gt;=14/24,B$9&lt;20/24)</formula>
    </cfRule>
    <cfRule type="expression" dxfId="3780" priority="121">
      <formula>B$9&lt;8/24</formula>
    </cfRule>
    <cfRule type="expression" dxfId="3779" priority="118">
      <formula>B$9&gt;=20/24</formula>
    </cfRule>
  </conditionalFormatting>
  <conditionalFormatting sqref="AH248:AX248">
    <cfRule type="expression" dxfId="3778" priority="122">
      <formula>AG$9&gt;=20/24</formula>
    </cfRule>
    <cfRule type="expression" dxfId="3777" priority="123">
      <formula>AND(AG$9&gt;=14/24,AG$9&lt;20/24)</formula>
    </cfRule>
    <cfRule type="expression" dxfId="3776" priority="125">
      <formula>AG$9&lt;8/24</formula>
    </cfRule>
    <cfRule type="expression" dxfId="3775" priority="124">
      <formula>AND(AG$9&gt;=8/24,AG$9&lt;14/24)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774" priority="131">
      <formula>AJ$9&gt;=20/24</formula>
    </cfRule>
    <cfRule type="expression" dxfId="3773" priority="132">
      <formula>AND(AJ$9&gt;=14/24,AJ$9&lt;20/24)</formula>
    </cfRule>
    <cfRule type="expression" dxfId="3772" priority="133">
      <formula>AND(AJ$9&gt;=8/24,AJ$9&lt;14/24)</formula>
    </cfRule>
    <cfRule type="expression" dxfId="3771" priority="134">
      <formula>AJ$9&lt;8/24</formula>
    </cfRule>
  </conditionalFormatting>
  <conditionalFormatting sqref="AL80:AN80 AL86:AN86">
    <cfRule type="expression" dxfId="3770" priority="72">
      <formula>AL$9&gt;=20/24</formula>
    </cfRule>
    <cfRule type="expression" dxfId="3769" priority="73">
      <formula>AND(AL$9&gt;=14/24,AL$9&lt;20/24)</formula>
    </cfRule>
    <cfRule type="expression" dxfId="3768" priority="74">
      <formula>AND(AL$9&gt;=8/24,AL$9&lt;14/24)</formula>
    </cfRule>
    <cfRule type="expression" dxfId="3767" priority="75">
      <formula>AL$9&lt;8/24</formula>
    </cfRule>
  </conditionalFormatting>
  <conditionalFormatting sqref="AN81:AN84">
    <cfRule type="expression" dxfId="3766" priority="69">
      <formula>AND(AN$9&gt;=14/24,AN$9&lt;20/24)</formula>
    </cfRule>
    <cfRule type="expression" dxfId="3765" priority="70">
      <formula>AND(AN$9&gt;=8/24,AN$9&lt;14/24)</formula>
    </cfRule>
    <cfRule type="expression" dxfId="3764" priority="71">
      <formula>AN$9&lt;8/24</formula>
    </cfRule>
    <cfRule type="expression" dxfId="3763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1D5E6-92FF-49C3-BFFC-4737954CA097}">
  <sheetPr codeName="Sheet3"/>
  <dimension ref="A1:CJ281"/>
  <sheetViews>
    <sheetView workbookViewId="0">
      <pane xSplit="1" ySplit="10" topLeftCell="H9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" style="1" customWidth="1"/>
    <col min="12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</v>
      </c>
      <c r="C4" s="196"/>
      <c r="D4" s="196"/>
      <c r="E4" s="197" t="str">
        <f ca="1">"2080/"&amp;"05/"&amp;INT(MID(CELL("filename",G6),FIND("]",CELL("filename",G6))+1,200))</f>
        <v>2080/05/2</v>
      </c>
      <c r="F4" s="197"/>
      <c r="G4" s="197"/>
      <c r="H4" s="197" t="str">
        <f ca="1">TEXT(E4,"dddd")</f>
        <v>Thursday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2.2000000000000002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8.5</v>
      </c>
      <c r="AA5" s="30">
        <f t="shared" si="0"/>
        <v>16</v>
      </c>
      <c r="AB5" s="30">
        <f t="shared" si="0"/>
        <v>0</v>
      </c>
      <c r="AC5" s="30">
        <f t="shared" si="0"/>
        <v>1.2</v>
      </c>
      <c r="AD5" s="30">
        <f t="shared" si="0"/>
        <v>0</v>
      </c>
      <c r="AE5" s="30">
        <f t="shared" si="0"/>
        <v>0</v>
      </c>
      <c r="AF5" s="30">
        <f>B84</f>
        <v>2.2000000000000002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1979MW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Load=1843</v>
      </c>
      <c r="B7" s="35">
        <f t="shared" ref="B7:AF7" si="1">B91</f>
        <v>1985.34</v>
      </c>
      <c r="C7" s="35">
        <f t="shared" si="1"/>
        <v>1940.14</v>
      </c>
      <c r="D7" s="35">
        <f t="shared" si="1"/>
        <v>1949.64</v>
      </c>
      <c r="E7" s="35">
        <f t="shared" si="1"/>
        <v>1940.8400000000001</v>
      </c>
      <c r="F7" s="35">
        <f t="shared" si="1"/>
        <v>1938.24</v>
      </c>
      <c r="G7" s="35">
        <f t="shared" si="1"/>
        <v>1936.94</v>
      </c>
      <c r="H7" s="35">
        <f t="shared" si="1"/>
        <v>1935.6399999999999</v>
      </c>
      <c r="I7" s="35">
        <f t="shared" si="1"/>
        <v>1936.44</v>
      </c>
      <c r="J7" s="35">
        <f t="shared" si="1"/>
        <v>1941.6399999999999</v>
      </c>
      <c r="K7" s="35">
        <f t="shared" si="1"/>
        <v>1951.64</v>
      </c>
      <c r="L7" s="35">
        <f t="shared" si="1"/>
        <v>1958.74</v>
      </c>
      <c r="M7" s="35">
        <f t="shared" si="1"/>
        <v>1978.54</v>
      </c>
      <c r="N7" s="35">
        <f>N91</f>
        <v>1978.54</v>
      </c>
      <c r="O7" s="35">
        <f t="shared" si="1"/>
        <v>1978.54</v>
      </c>
      <c r="P7" s="35">
        <f t="shared" si="1"/>
        <v>1870.24</v>
      </c>
      <c r="Q7" s="35">
        <f t="shared" si="1"/>
        <v>1880.24</v>
      </c>
      <c r="R7" s="35">
        <f t="shared" si="1"/>
        <v>1880.24</v>
      </c>
      <c r="S7" s="35">
        <f t="shared" si="1"/>
        <v>1843.44</v>
      </c>
      <c r="T7" s="35">
        <f t="shared" si="1"/>
        <v>1944.4399999999998</v>
      </c>
      <c r="U7" s="35">
        <f t="shared" si="1"/>
        <v>1924.84</v>
      </c>
      <c r="V7" s="35">
        <f t="shared" si="1"/>
        <v>1941.24</v>
      </c>
      <c r="W7" s="35">
        <f t="shared" si="1"/>
        <v>1940.3400000000001</v>
      </c>
      <c r="X7" s="35">
        <f t="shared" si="1"/>
        <v>1945.14</v>
      </c>
      <c r="Y7" s="35">
        <f t="shared" si="1"/>
        <v>1969.8400000000001</v>
      </c>
      <c r="Z7" s="35">
        <f t="shared" si="1"/>
        <v>2010.3399999999997</v>
      </c>
      <c r="AA7" s="35">
        <f t="shared" si="1"/>
        <v>2031.7400000000002</v>
      </c>
      <c r="AB7" s="35">
        <f t="shared" si="1"/>
        <v>2073.4399999999996</v>
      </c>
      <c r="AC7" s="35">
        <f t="shared" si="1"/>
        <v>2057.4399999999996</v>
      </c>
      <c r="AD7" s="35">
        <f t="shared" si="1"/>
        <v>1982.6399999999999</v>
      </c>
      <c r="AE7" s="35">
        <f t="shared" si="1"/>
        <v>2007.14</v>
      </c>
      <c r="AF7" s="35">
        <f t="shared" si="1"/>
        <v>1863.94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90.1</v>
      </c>
      <c r="E11" s="45">
        <v>90.1</v>
      </c>
      <c r="F11" s="45">
        <v>90.1</v>
      </c>
      <c r="G11" s="45">
        <v>90.1</v>
      </c>
      <c r="H11" s="45">
        <v>90.1</v>
      </c>
      <c r="I11" s="45">
        <v>85.5</v>
      </c>
      <c r="J11" s="45">
        <v>85.5</v>
      </c>
      <c r="K11" s="45">
        <v>85.5</v>
      </c>
      <c r="L11" s="45">
        <v>89.8</v>
      </c>
      <c r="M11" s="45">
        <v>89.8</v>
      </c>
      <c r="N11" s="45">
        <v>89.8</v>
      </c>
      <c r="O11" s="45">
        <v>89.8</v>
      </c>
      <c r="P11" s="45">
        <v>89.8</v>
      </c>
      <c r="Q11" s="45">
        <v>89.8</v>
      </c>
      <c r="R11" s="45">
        <v>89.8</v>
      </c>
      <c r="S11" s="45">
        <v>89.8</v>
      </c>
      <c r="T11" s="45">
        <v>89.8</v>
      </c>
      <c r="U11" s="45">
        <v>89.8</v>
      </c>
      <c r="V11" s="45">
        <v>89.8</v>
      </c>
      <c r="W11" s="45">
        <v>89.8</v>
      </c>
      <c r="X11" s="45">
        <v>89.8</v>
      </c>
      <c r="Y11" s="45">
        <v>89.8</v>
      </c>
      <c r="Z11" s="45">
        <v>89.8</v>
      </c>
      <c r="AA11" s="45">
        <v>87.1</v>
      </c>
      <c r="AB11" s="45">
        <v>87.2</v>
      </c>
      <c r="AC11" s="45">
        <v>87.2</v>
      </c>
      <c r="AD11" s="45">
        <v>87.2</v>
      </c>
      <c r="AE11" s="45">
        <v>87.2</v>
      </c>
      <c r="AF11" s="45">
        <v>87.2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85.5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9</v>
      </c>
      <c r="C12" s="45">
        <v>9</v>
      </c>
      <c r="D12" s="45">
        <v>9</v>
      </c>
      <c r="E12" s="45">
        <v>9</v>
      </c>
      <c r="F12" s="45">
        <v>9</v>
      </c>
      <c r="G12" s="45">
        <v>9</v>
      </c>
      <c r="H12" s="45">
        <v>9</v>
      </c>
      <c r="I12" s="45">
        <v>9</v>
      </c>
      <c r="J12" s="45">
        <v>9</v>
      </c>
      <c r="K12" s="45">
        <v>9</v>
      </c>
      <c r="L12" s="45">
        <v>9</v>
      </c>
      <c r="M12" s="45">
        <v>9</v>
      </c>
      <c r="N12" s="45">
        <v>9</v>
      </c>
      <c r="O12" s="45">
        <v>9</v>
      </c>
      <c r="P12" s="45">
        <v>9</v>
      </c>
      <c r="Q12" s="45">
        <v>9</v>
      </c>
      <c r="R12" s="45">
        <v>9</v>
      </c>
      <c r="S12" s="45">
        <v>9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54.7</v>
      </c>
      <c r="C13" s="45">
        <v>54.7</v>
      </c>
      <c r="D13" s="45">
        <v>54.7</v>
      </c>
      <c r="E13" s="45">
        <v>54.7</v>
      </c>
      <c r="F13" s="45">
        <v>54.7</v>
      </c>
      <c r="G13" s="45">
        <v>54.7</v>
      </c>
      <c r="H13" s="45">
        <v>54.7</v>
      </c>
      <c r="I13" s="45">
        <v>54.7</v>
      </c>
      <c r="J13" s="45">
        <v>54.7</v>
      </c>
      <c r="K13" s="45">
        <v>54.7</v>
      </c>
      <c r="L13" s="45">
        <v>54.7</v>
      </c>
      <c r="M13" s="45">
        <v>54.7</v>
      </c>
      <c r="N13" s="45">
        <v>54.7</v>
      </c>
      <c r="O13" s="45">
        <v>54.7</v>
      </c>
      <c r="P13" s="45">
        <v>54.7</v>
      </c>
      <c r="Q13" s="45">
        <v>54.7</v>
      </c>
      <c r="R13" s="45">
        <v>54.7</v>
      </c>
      <c r="S13" s="45">
        <v>54.7</v>
      </c>
      <c r="T13" s="45">
        <v>54.7</v>
      </c>
      <c r="U13" s="45">
        <v>54.7</v>
      </c>
      <c r="V13" s="45">
        <v>54.7</v>
      </c>
      <c r="W13" s="45">
        <v>54.7</v>
      </c>
      <c r="X13" s="45">
        <v>54.7</v>
      </c>
      <c r="Y13" s="45">
        <v>54.7</v>
      </c>
      <c r="Z13" s="45">
        <v>54.7</v>
      </c>
      <c r="AA13" s="45">
        <v>54.6</v>
      </c>
      <c r="AB13" s="45">
        <v>54.6</v>
      </c>
      <c r="AC13" s="45">
        <v>54.6</v>
      </c>
      <c r="AD13" s="45">
        <v>54.6</v>
      </c>
      <c r="AE13" s="45">
        <v>54.6</v>
      </c>
      <c r="AF13" s="45">
        <v>54.6</v>
      </c>
      <c r="AG13" s="46">
        <v>52.4</v>
      </c>
      <c r="AH13" s="47">
        <f t="shared" si="2"/>
        <v>54.7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50.3</v>
      </c>
      <c r="C14" s="45">
        <v>50.3</v>
      </c>
      <c r="D14" s="45">
        <v>50.3</v>
      </c>
      <c r="E14" s="45">
        <v>50.3</v>
      </c>
      <c r="F14" s="45">
        <v>50.3</v>
      </c>
      <c r="G14" s="45">
        <v>50.3</v>
      </c>
      <c r="H14" s="45">
        <v>50.3</v>
      </c>
      <c r="I14" s="45">
        <v>50.3</v>
      </c>
      <c r="J14" s="45">
        <v>50.3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45">
        <v>50.4</v>
      </c>
      <c r="AB14" s="45">
        <v>50.4</v>
      </c>
      <c r="AC14" s="45">
        <v>50.4</v>
      </c>
      <c r="AD14" s="45">
        <v>50.4</v>
      </c>
      <c r="AE14" s="45">
        <v>50.4</v>
      </c>
      <c r="AF14" s="45">
        <v>50.4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45.9</v>
      </c>
      <c r="C15" s="45">
        <v>45.9</v>
      </c>
      <c r="D15" s="45">
        <v>40.9</v>
      </c>
      <c r="E15" s="45">
        <v>40.9</v>
      </c>
      <c r="F15" s="45">
        <v>40.9</v>
      </c>
      <c r="G15" s="45">
        <v>41</v>
      </c>
      <c r="H15" s="45">
        <v>41</v>
      </c>
      <c r="I15" s="45">
        <v>41</v>
      </c>
      <c r="J15" s="45">
        <v>46</v>
      </c>
      <c r="K15" s="45">
        <v>46.2</v>
      </c>
      <c r="L15" s="45">
        <v>46.2</v>
      </c>
      <c r="M15" s="45">
        <v>46.2</v>
      </c>
      <c r="N15" s="45">
        <v>46.2</v>
      </c>
      <c r="O15" s="45">
        <v>46.2</v>
      </c>
      <c r="P15" s="45">
        <v>46.2</v>
      </c>
      <c r="Q15" s="45">
        <v>46.2</v>
      </c>
      <c r="R15" s="45">
        <v>46.2</v>
      </c>
      <c r="S15" s="45">
        <v>40</v>
      </c>
      <c r="T15" s="45">
        <v>40</v>
      </c>
      <c r="U15" s="45">
        <v>40</v>
      </c>
      <c r="V15" s="45">
        <v>40</v>
      </c>
      <c r="W15" s="45">
        <v>40</v>
      </c>
      <c r="X15" s="45">
        <v>40</v>
      </c>
      <c r="Y15" s="45">
        <v>40</v>
      </c>
      <c r="Z15" s="45">
        <v>46.2</v>
      </c>
      <c r="AA15" s="45">
        <v>46.2</v>
      </c>
      <c r="AB15" s="45">
        <v>46.2</v>
      </c>
      <c r="AC15" s="45">
        <v>46.2</v>
      </c>
      <c r="AD15" s="45">
        <v>46.2</v>
      </c>
      <c r="AE15" s="45">
        <v>46.2</v>
      </c>
      <c r="AF15" s="45">
        <v>46.2</v>
      </c>
      <c r="AG15" s="49">
        <v>45</v>
      </c>
      <c r="AH15" s="47">
        <f t="shared" si="2"/>
        <v>46.2</v>
      </c>
      <c r="AI15" s="48">
        <f t="shared" si="3"/>
        <v>40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34</v>
      </c>
      <c r="Q16" s="45">
        <v>30</v>
      </c>
      <c r="R16" s="45">
        <v>30</v>
      </c>
      <c r="S16" s="45">
        <v>30</v>
      </c>
      <c r="T16" s="45">
        <v>30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30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0</v>
      </c>
      <c r="D17" s="45">
        <v>28.4</v>
      </c>
      <c r="E17" s="45">
        <v>28.4</v>
      </c>
      <c r="F17" s="45">
        <v>28.4</v>
      </c>
      <c r="G17" s="45">
        <v>28.4</v>
      </c>
      <c r="H17" s="45">
        <v>28.4</v>
      </c>
      <c r="I17" s="45">
        <v>28.4</v>
      </c>
      <c r="J17" s="45">
        <v>22</v>
      </c>
      <c r="K17" s="45">
        <v>22</v>
      </c>
      <c r="L17" s="45">
        <v>5</v>
      </c>
      <c r="M17" s="45">
        <v>28</v>
      </c>
      <c r="N17" s="45">
        <v>28</v>
      </c>
      <c r="O17" s="45">
        <v>28</v>
      </c>
      <c r="P17" s="45">
        <v>22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28.4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5.4</v>
      </c>
      <c r="C20" s="45">
        <v>5.4</v>
      </c>
      <c r="D20" s="45">
        <v>5.4</v>
      </c>
      <c r="E20" s="45">
        <v>5.4</v>
      </c>
      <c r="F20" s="45">
        <v>5.4</v>
      </c>
      <c r="G20" s="45">
        <v>5.4</v>
      </c>
      <c r="H20" s="45">
        <v>5.4</v>
      </c>
      <c r="I20" s="45">
        <v>5.4</v>
      </c>
      <c r="J20" s="45">
        <v>5.4</v>
      </c>
      <c r="K20" s="45">
        <v>5.4</v>
      </c>
      <c r="L20" s="45">
        <v>5.4</v>
      </c>
      <c r="M20" s="45">
        <v>5.4</v>
      </c>
      <c r="N20" s="45">
        <v>5.4</v>
      </c>
      <c r="O20" s="45">
        <v>5.4</v>
      </c>
      <c r="P20" s="45">
        <v>5.4</v>
      </c>
      <c r="Q20" s="45">
        <v>5.4</v>
      </c>
      <c r="R20" s="45">
        <v>5.4</v>
      </c>
      <c r="S20" s="45">
        <v>5.4</v>
      </c>
      <c r="T20" s="45">
        <v>5.4</v>
      </c>
      <c r="U20" s="45">
        <v>0</v>
      </c>
      <c r="V20" s="45">
        <v>0</v>
      </c>
      <c r="W20" s="45">
        <v>0</v>
      </c>
      <c r="X20" s="45">
        <v>0</v>
      </c>
      <c r="Y20" s="45">
        <v>0</v>
      </c>
      <c r="Z20" s="45">
        <v>20.7</v>
      </c>
      <c r="AA20" s="45">
        <v>20.7</v>
      </c>
      <c r="AB20" s="45">
        <v>15.4</v>
      </c>
      <c r="AC20" s="45">
        <v>15.4</v>
      </c>
      <c r="AD20" s="45">
        <v>15.4</v>
      </c>
      <c r="AE20" s="45">
        <v>5</v>
      </c>
      <c r="AF20" s="45">
        <v>5</v>
      </c>
      <c r="AG20" s="51">
        <v>30</v>
      </c>
      <c r="AH20" s="47">
        <f t="shared" si="2"/>
        <v>20.7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20.8</v>
      </c>
      <c r="C21" s="45">
        <v>20.8</v>
      </c>
      <c r="D21" s="45">
        <v>20.8</v>
      </c>
      <c r="E21" s="45">
        <v>20.8</v>
      </c>
      <c r="F21" s="45">
        <v>20.8</v>
      </c>
      <c r="G21" s="45">
        <v>20.8</v>
      </c>
      <c r="H21" s="45">
        <v>20.8</v>
      </c>
      <c r="I21" s="45">
        <v>20.8</v>
      </c>
      <c r="J21" s="45">
        <v>20.8</v>
      </c>
      <c r="K21" s="45">
        <v>20.8</v>
      </c>
      <c r="L21" s="45">
        <v>20.8</v>
      </c>
      <c r="M21" s="45">
        <v>20.8</v>
      </c>
      <c r="N21" s="45">
        <v>20.8</v>
      </c>
      <c r="O21" s="45">
        <v>20.8</v>
      </c>
      <c r="P21" s="45">
        <v>20.8</v>
      </c>
      <c r="Q21" s="45">
        <v>20.8</v>
      </c>
      <c r="R21" s="45">
        <v>20.8</v>
      </c>
      <c r="S21" s="45">
        <v>20.8</v>
      </c>
      <c r="T21" s="45">
        <v>20.8</v>
      </c>
      <c r="U21" s="45">
        <v>20.8</v>
      </c>
      <c r="V21" s="45">
        <v>20.8</v>
      </c>
      <c r="W21" s="45">
        <v>20.8</v>
      </c>
      <c r="X21" s="45">
        <v>20.8</v>
      </c>
      <c r="Y21" s="45">
        <v>20.8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20.8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28.3</v>
      </c>
      <c r="C22" s="45">
        <v>28.3</v>
      </c>
      <c r="D22" s="45">
        <v>28.3</v>
      </c>
      <c r="E22" s="45">
        <v>28.3</v>
      </c>
      <c r="F22" s="45">
        <v>28.3</v>
      </c>
      <c r="G22" s="45">
        <v>28.3</v>
      </c>
      <c r="H22" s="45">
        <v>28.3</v>
      </c>
      <c r="I22" s="45">
        <v>28.3</v>
      </c>
      <c r="J22" s="45">
        <v>28.3</v>
      </c>
      <c r="K22" s="45">
        <v>28.3</v>
      </c>
      <c r="L22" s="45">
        <v>28.3</v>
      </c>
      <c r="M22" s="45">
        <v>28.3</v>
      </c>
      <c r="N22" s="45">
        <v>28.3</v>
      </c>
      <c r="O22" s="45">
        <v>28.3</v>
      </c>
      <c r="P22" s="45">
        <v>28.3</v>
      </c>
      <c r="Q22" s="45">
        <v>28.3</v>
      </c>
      <c r="R22" s="45">
        <v>28.3</v>
      </c>
      <c r="S22" s="45">
        <v>28.3</v>
      </c>
      <c r="T22" s="45">
        <v>28.3</v>
      </c>
      <c r="U22" s="45">
        <v>28.3</v>
      </c>
      <c r="V22" s="45">
        <v>28.3</v>
      </c>
      <c r="W22" s="45">
        <v>28.3</v>
      </c>
      <c r="X22" s="45">
        <v>28.3</v>
      </c>
      <c r="Y22" s="45">
        <v>28.3</v>
      </c>
      <c r="Z22" s="45">
        <v>28.3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28.3</v>
      </c>
      <c r="AI22" s="48">
        <f t="shared" si="3"/>
        <v>28.3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0</v>
      </c>
      <c r="D23" s="45">
        <v>4.5</v>
      </c>
      <c r="E23" s="45">
        <v>4.5</v>
      </c>
      <c r="F23" s="45">
        <v>4.5</v>
      </c>
      <c r="G23" s="45">
        <v>4.5</v>
      </c>
      <c r="H23" s="45">
        <v>4.5</v>
      </c>
      <c r="I23" s="45">
        <v>4.5</v>
      </c>
      <c r="J23" s="45">
        <v>4.5</v>
      </c>
      <c r="K23" s="45">
        <v>4.5</v>
      </c>
      <c r="L23" s="45">
        <v>4.5</v>
      </c>
      <c r="M23" s="45">
        <v>4.5</v>
      </c>
      <c r="N23" s="45">
        <v>4.5</v>
      </c>
      <c r="O23" s="45">
        <v>4.5</v>
      </c>
      <c r="P23" s="45">
        <v>4.5</v>
      </c>
      <c r="Q23" s="45">
        <v>4.5</v>
      </c>
      <c r="R23" s="45">
        <v>4.5</v>
      </c>
      <c r="S23" s="45">
        <v>4.5</v>
      </c>
      <c r="T23" s="45">
        <v>4.5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14</v>
      </c>
      <c r="AA23" s="45">
        <v>14</v>
      </c>
      <c r="AB23" s="45">
        <v>13.5</v>
      </c>
      <c r="AC23" s="45">
        <v>13.5</v>
      </c>
      <c r="AD23" s="45">
        <v>13.5</v>
      </c>
      <c r="AE23" s="45">
        <v>4.5</v>
      </c>
      <c r="AF23" s="45">
        <v>4.5</v>
      </c>
      <c r="AG23" s="51">
        <v>30</v>
      </c>
      <c r="AH23" s="47">
        <f t="shared" si="2"/>
        <v>14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24.4</v>
      </c>
      <c r="D24" s="45">
        <v>24.4</v>
      </c>
      <c r="E24" s="45">
        <v>24.4</v>
      </c>
      <c r="F24" s="45">
        <v>24.4</v>
      </c>
      <c r="G24" s="45">
        <v>24.4</v>
      </c>
      <c r="H24" s="45">
        <v>24.4</v>
      </c>
      <c r="I24" s="45">
        <v>24.4</v>
      </c>
      <c r="J24" s="45">
        <v>24.4</v>
      </c>
      <c r="K24" s="45">
        <v>24.4</v>
      </c>
      <c r="L24" s="45">
        <v>24.4</v>
      </c>
      <c r="M24" s="45">
        <v>24.4</v>
      </c>
      <c r="N24" s="45">
        <v>24.4</v>
      </c>
      <c r="O24" s="45">
        <v>24.4</v>
      </c>
      <c r="P24" s="45">
        <v>24.4</v>
      </c>
      <c r="Q24" s="45">
        <v>24.4</v>
      </c>
      <c r="R24" s="45">
        <v>24.4</v>
      </c>
      <c r="S24" s="45">
        <v>0</v>
      </c>
      <c r="T24" s="45">
        <v>0</v>
      </c>
      <c r="U24" s="45">
        <v>13.3</v>
      </c>
      <c r="V24" s="45">
        <v>24.3</v>
      </c>
      <c r="W24" s="45">
        <v>24.3</v>
      </c>
      <c r="X24" s="45">
        <v>24.3</v>
      </c>
      <c r="Y24" s="45">
        <v>24.3</v>
      </c>
      <c r="Z24" s="45">
        <v>24.3</v>
      </c>
      <c r="AA24" s="45">
        <v>24.4</v>
      </c>
      <c r="AB24" s="45">
        <v>24.4</v>
      </c>
      <c r="AC24" s="45">
        <v>24.4</v>
      </c>
      <c r="AD24" s="45">
        <v>24.4</v>
      </c>
      <c r="AE24" s="45">
        <v>24.4</v>
      </c>
      <c r="AF24" s="45">
        <v>24.4</v>
      </c>
      <c r="AG24" s="49">
        <v>25</v>
      </c>
      <c r="AH24" s="47">
        <f t="shared" si="2"/>
        <v>24.4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22</v>
      </c>
      <c r="G26" s="45">
        <v>22</v>
      </c>
      <c r="H26" s="45">
        <v>22</v>
      </c>
      <c r="I26" s="45">
        <v>22</v>
      </c>
      <c r="J26" s="45">
        <v>22</v>
      </c>
      <c r="K26" s="45">
        <v>22</v>
      </c>
      <c r="L26" s="45">
        <v>22</v>
      </c>
      <c r="M26" s="45">
        <v>22</v>
      </c>
      <c r="N26" s="45">
        <v>22</v>
      </c>
      <c r="O26" s="45">
        <v>22</v>
      </c>
      <c r="P26" s="45">
        <v>22</v>
      </c>
      <c r="Q26" s="45">
        <v>22</v>
      </c>
      <c r="R26" s="45">
        <v>22</v>
      </c>
      <c r="S26" s="45">
        <v>22</v>
      </c>
      <c r="T26" s="45">
        <v>22</v>
      </c>
      <c r="U26" s="45">
        <v>22</v>
      </c>
      <c r="V26" s="45">
        <v>22</v>
      </c>
      <c r="W26" s="45">
        <v>22</v>
      </c>
      <c r="X26" s="45">
        <v>22</v>
      </c>
      <c r="Y26" s="45">
        <v>22</v>
      </c>
      <c r="Z26" s="45">
        <v>22</v>
      </c>
      <c r="AA26" s="45">
        <v>22</v>
      </c>
      <c r="AB26" s="45">
        <v>22</v>
      </c>
      <c r="AC26" s="45">
        <v>22</v>
      </c>
      <c r="AD26" s="45">
        <v>22</v>
      </c>
      <c r="AE26" s="45">
        <v>22</v>
      </c>
      <c r="AF26" s="45">
        <v>22</v>
      </c>
      <c r="AG26" s="49">
        <v>25</v>
      </c>
      <c r="AH26" s="47">
        <f t="shared" si="2"/>
        <v>22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</v>
      </c>
      <c r="C27" s="45">
        <v>4</v>
      </c>
      <c r="D27" s="45">
        <v>4</v>
      </c>
      <c r="E27" s="45">
        <v>4</v>
      </c>
      <c r="F27" s="45">
        <v>4</v>
      </c>
      <c r="G27" s="45">
        <v>4</v>
      </c>
      <c r="H27" s="45">
        <v>4</v>
      </c>
      <c r="I27" s="45">
        <v>4</v>
      </c>
      <c r="J27" s="45">
        <v>4</v>
      </c>
      <c r="K27" s="45">
        <v>4</v>
      </c>
      <c r="L27" s="45">
        <v>4</v>
      </c>
      <c r="M27" s="45">
        <v>4</v>
      </c>
      <c r="N27" s="45">
        <v>4</v>
      </c>
      <c r="O27" s="45">
        <v>4</v>
      </c>
      <c r="P27" s="45">
        <v>4</v>
      </c>
      <c r="Q27" s="45">
        <v>4</v>
      </c>
      <c r="R27" s="45">
        <v>4</v>
      </c>
      <c r="S27" s="45">
        <v>4</v>
      </c>
      <c r="T27" s="45">
        <v>4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12</v>
      </c>
      <c r="AA27" s="45">
        <v>12</v>
      </c>
      <c r="AB27" s="45">
        <v>12.5</v>
      </c>
      <c r="AC27" s="45">
        <v>12.5</v>
      </c>
      <c r="AD27" s="45">
        <v>12.5</v>
      </c>
      <c r="AE27" s="45">
        <v>4.5</v>
      </c>
      <c r="AF27" s="45">
        <v>4.5</v>
      </c>
      <c r="AG27" s="49">
        <v>25</v>
      </c>
      <c r="AH27" s="47">
        <f t="shared" si="2"/>
        <v>12.5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</v>
      </c>
      <c r="C32" s="45">
        <v>20</v>
      </c>
      <c r="D32" s="45">
        <v>20</v>
      </c>
      <c r="E32" s="45">
        <v>20</v>
      </c>
      <c r="F32" s="45">
        <v>20</v>
      </c>
      <c r="G32" s="45">
        <v>20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0</v>
      </c>
      <c r="K33" s="45">
        <v>0</v>
      </c>
      <c r="L33" s="45">
        <v>0</v>
      </c>
      <c r="M33" s="45">
        <v>5</v>
      </c>
      <c r="N33" s="45">
        <v>5</v>
      </c>
      <c r="O33" s="45">
        <v>5</v>
      </c>
      <c r="P33" s="45">
        <v>0</v>
      </c>
      <c r="Q33" s="45">
        <v>4</v>
      </c>
      <c r="R33" s="45">
        <v>4</v>
      </c>
      <c r="S33" s="45">
        <v>4</v>
      </c>
      <c r="T33" s="45">
        <v>4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7</v>
      </c>
      <c r="AA33" s="45">
        <v>7</v>
      </c>
      <c r="AB33" s="45">
        <v>7</v>
      </c>
      <c r="AC33" s="45">
        <v>7</v>
      </c>
      <c r="AD33" s="45">
        <v>7</v>
      </c>
      <c r="AE33" s="45">
        <v>4</v>
      </c>
      <c r="AF33" s="45">
        <v>4</v>
      </c>
      <c r="AG33" s="49">
        <v>20</v>
      </c>
      <c r="AH33" s="47">
        <f t="shared" si="2"/>
        <v>7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4</v>
      </c>
      <c r="D34" s="45">
        <v>4</v>
      </c>
      <c r="E34" s="45">
        <v>4</v>
      </c>
      <c r="F34" s="45">
        <v>4</v>
      </c>
      <c r="G34" s="45">
        <v>4</v>
      </c>
      <c r="H34" s="45">
        <v>4</v>
      </c>
      <c r="I34" s="45">
        <v>4</v>
      </c>
      <c r="J34" s="45">
        <v>0</v>
      </c>
      <c r="K34" s="45">
        <v>0</v>
      </c>
      <c r="L34" s="45">
        <v>0</v>
      </c>
      <c r="M34" s="45">
        <v>4</v>
      </c>
      <c r="N34" s="45">
        <v>4</v>
      </c>
      <c r="O34" s="45">
        <v>4</v>
      </c>
      <c r="P34" s="45">
        <v>0</v>
      </c>
      <c r="Q34" s="45">
        <v>4</v>
      </c>
      <c r="R34" s="45">
        <v>4</v>
      </c>
      <c r="S34" s="45">
        <v>4</v>
      </c>
      <c r="T34" s="45">
        <v>4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5</v>
      </c>
      <c r="AA34" s="45">
        <v>5</v>
      </c>
      <c r="AB34" s="45">
        <v>5</v>
      </c>
      <c r="AC34" s="45">
        <v>5</v>
      </c>
      <c r="AD34" s="45">
        <v>5</v>
      </c>
      <c r="AE34" s="45">
        <v>3.5</v>
      </c>
      <c r="AF34" s="45">
        <v>3.5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2</v>
      </c>
      <c r="F39" s="45">
        <v>2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2</v>
      </c>
      <c r="M39" s="45">
        <v>2</v>
      </c>
      <c r="N39" s="45">
        <v>2</v>
      </c>
      <c r="O39" s="45">
        <v>2</v>
      </c>
      <c r="P39" s="45">
        <v>2</v>
      </c>
      <c r="Q39" s="45">
        <v>2</v>
      </c>
      <c r="R39" s="45">
        <v>2</v>
      </c>
      <c r="S39" s="45">
        <v>2</v>
      </c>
      <c r="T39" s="45">
        <v>2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6</v>
      </c>
      <c r="AA39" s="45">
        <v>6</v>
      </c>
      <c r="AB39" s="45">
        <v>6</v>
      </c>
      <c r="AC39" s="45">
        <v>6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7.9</v>
      </c>
      <c r="C40" s="45">
        <v>7.9</v>
      </c>
      <c r="D40" s="45">
        <v>7.9</v>
      </c>
      <c r="E40" s="45">
        <v>7.9</v>
      </c>
      <c r="F40" s="45">
        <v>7.9</v>
      </c>
      <c r="G40" s="45">
        <v>7.9</v>
      </c>
      <c r="H40" s="45">
        <v>7.9</v>
      </c>
      <c r="I40" s="45">
        <v>7.9</v>
      </c>
      <c r="J40" s="45">
        <v>7.9</v>
      </c>
      <c r="K40" s="45">
        <v>7.9</v>
      </c>
      <c r="L40" s="45">
        <v>7.9</v>
      </c>
      <c r="M40" s="45">
        <v>7.9</v>
      </c>
      <c r="N40" s="45">
        <v>7.9</v>
      </c>
      <c r="O40" s="45">
        <v>7.9</v>
      </c>
      <c r="P40" s="45">
        <v>7.9</v>
      </c>
      <c r="Q40" s="45">
        <v>7.9</v>
      </c>
      <c r="R40" s="45">
        <v>7.9</v>
      </c>
      <c r="S40" s="45">
        <v>7.9</v>
      </c>
      <c r="T40" s="45">
        <v>7.9</v>
      </c>
      <c r="U40" s="45">
        <v>7.9</v>
      </c>
      <c r="V40" s="45">
        <v>7.9</v>
      </c>
      <c r="W40" s="45">
        <v>7.9</v>
      </c>
      <c r="X40" s="45">
        <v>7.9</v>
      </c>
      <c r="Y40" s="45">
        <v>7.9</v>
      </c>
      <c r="Z40" s="45">
        <v>7.9</v>
      </c>
      <c r="AA40" s="45">
        <v>7.9</v>
      </c>
      <c r="AB40" s="45">
        <v>7.9</v>
      </c>
      <c r="AC40" s="45">
        <v>7.9</v>
      </c>
      <c r="AD40" s="45">
        <v>7.9</v>
      </c>
      <c r="AE40" s="45">
        <v>7.9</v>
      </c>
      <c r="AF40" s="45">
        <v>7.9</v>
      </c>
      <c r="AG40" s="49">
        <v>12</v>
      </c>
      <c r="AH40" s="47">
        <f t="shared" si="2"/>
        <v>7.9</v>
      </c>
      <c r="AI40" s="48">
        <f t="shared" si="3"/>
        <v>7.9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>
        <v>10</v>
      </c>
      <c r="K44" s="45">
        <v>10</v>
      </c>
      <c r="L44" s="45">
        <v>10</v>
      </c>
      <c r="M44" s="45">
        <v>10</v>
      </c>
      <c r="N44" s="45">
        <v>10</v>
      </c>
      <c r="O44" s="45">
        <v>10</v>
      </c>
      <c r="P44" s="45">
        <v>10</v>
      </c>
      <c r="Q44" s="45">
        <v>10</v>
      </c>
      <c r="R44" s="45">
        <v>10</v>
      </c>
      <c r="S44" s="45">
        <v>10</v>
      </c>
      <c r="T44" s="45">
        <v>10</v>
      </c>
      <c r="U44" s="45">
        <v>10</v>
      </c>
      <c r="V44" s="45">
        <v>10</v>
      </c>
      <c r="W44" s="45">
        <v>10</v>
      </c>
      <c r="X44" s="45">
        <v>10</v>
      </c>
      <c r="Y44" s="45">
        <v>10</v>
      </c>
      <c r="Z44" s="45">
        <v>10</v>
      </c>
      <c r="AA44" s="45">
        <v>10</v>
      </c>
      <c r="AB44" s="45">
        <v>10</v>
      </c>
      <c r="AC44" s="45">
        <v>10</v>
      </c>
      <c r="AD44" s="45">
        <v>10</v>
      </c>
      <c r="AE44" s="45">
        <v>10</v>
      </c>
      <c r="AF44" s="45">
        <v>10</v>
      </c>
      <c r="AG44" s="54">
        <v>11</v>
      </c>
      <c r="AH44" s="47">
        <f t="shared" si="2"/>
        <v>10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25.7+78.6</f>
        <v>104.3</v>
      </c>
      <c r="C49" s="56">
        <f>26.1+79.1</f>
        <v>105.19999999999999</v>
      </c>
      <c r="D49" s="56">
        <f>26.4+79.4</f>
        <v>105.80000000000001</v>
      </c>
      <c r="E49" s="58">
        <f>79.2+26.2</f>
        <v>105.4</v>
      </c>
      <c r="F49" s="58">
        <f>77.8+24.5</f>
        <v>102.3</v>
      </c>
      <c r="G49" s="58">
        <f>77.5+24.6</f>
        <v>102.1</v>
      </c>
      <c r="H49" s="58">
        <f>77.5+24.6</f>
        <v>102.1</v>
      </c>
      <c r="I49" s="58">
        <f>77.5+24.5</f>
        <v>102</v>
      </c>
      <c r="J49" s="58">
        <f>77.5+24.5</f>
        <v>102</v>
      </c>
      <c r="K49" s="58">
        <f>24+76.9</f>
        <v>100.9</v>
      </c>
      <c r="L49" s="58">
        <f t="shared" ref="L49:R49" si="4">76+22.4</f>
        <v>98.4</v>
      </c>
      <c r="M49" s="58">
        <f t="shared" si="4"/>
        <v>98.4</v>
      </c>
      <c r="N49" s="58">
        <f t="shared" si="4"/>
        <v>98.4</v>
      </c>
      <c r="O49" s="58">
        <f t="shared" si="4"/>
        <v>98.4</v>
      </c>
      <c r="P49" s="58">
        <f t="shared" si="4"/>
        <v>98.4</v>
      </c>
      <c r="Q49" s="58">
        <f t="shared" si="4"/>
        <v>98.4</v>
      </c>
      <c r="R49" s="58">
        <f t="shared" si="4"/>
        <v>98.4</v>
      </c>
      <c r="S49" s="58">
        <f>23.9+77.9</f>
        <v>101.80000000000001</v>
      </c>
      <c r="T49" s="58">
        <f>23.9+77.9</f>
        <v>101.80000000000001</v>
      </c>
      <c r="U49" s="58">
        <f>23.1+74.5</f>
        <v>97.6</v>
      </c>
      <c r="V49" s="58">
        <f>24.2+74.8</f>
        <v>99</v>
      </c>
      <c r="W49" s="58">
        <f>24.2+74.8</f>
        <v>99</v>
      </c>
      <c r="X49" s="58">
        <f>25.3+78.8</f>
        <v>104.1</v>
      </c>
      <c r="Y49" s="58">
        <f>25.3+78.8</f>
        <v>104.1</v>
      </c>
      <c r="Z49" s="58">
        <f>23.7+76.4</f>
        <v>100.10000000000001</v>
      </c>
      <c r="AA49" s="56"/>
      <c r="AB49" s="56">
        <f>77.5+24.4</f>
        <v>101.9</v>
      </c>
      <c r="AC49" s="56">
        <f>77.5+24.4</f>
        <v>101.9</v>
      </c>
      <c r="AD49" s="56">
        <f>77.5+24.4</f>
        <v>101.9</v>
      </c>
      <c r="AE49" s="56">
        <v>101.3</v>
      </c>
      <c r="AF49" s="56">
        <v>101.3</v>
      </c>
      <c r="AG49" s="54">
        <v>240</v>
      </c>
      <c r="AH49" s="47">
        <f t="shared" si="2"/>
        <v>105.80000000000001</v>
      </c>
      <c r="AI49" s="48">
        <f t="shared" si="3"/>
        <v>97.6</v>
      </c>
      <c r="AK49" s="50"/>
    </row>
    <row r="50" spans="1:41" ht="15.75" thickBot="1" x14ac:dyDescent="0.3">
      <c r="A50" s="59" t="s">
        <v>58</v>
      </c>
      <c r="B50" s="60">
        <f>SUM(B11:B48)</f>
        <v>1040.1999999999998</v>
      </c>
      <c r="C50" s="60">
        <f>SUM(C11:C48)</f>
        <v>1007.8</v>
      </c>
      <c r="D50" s="60">
        <f>SUM(D11:D48)</f>
        <v>1035.5</v>
      </c>
      <c r="E50" s="60">
        <f t="shared" ref="E50:AF50" si="5">SUM(E11:E48)</f>
        <v>1035.5</v>
      </c>
      <c r="F50" s="60">
        <f t="shared" si="5"/>
        <v>1035.5</v>
      </c>
      <c r="G50" s="60">
        <f t="shared" si="5"/>
        <v>1035.5999999999999</v>
      </c>
      <c r="H50" s="60">
        <f t="shared" si="5"/>
        <v>1037.5999999999999</v>
      </c>
      <c r="I50" s="60">
        <f t="shared" si="5"/>
        <v>1033</v>
      </c>
      <c r="J50" s="60">
        <f t="shared" si="5"/>
        <v>1022.6</v>
      </c>
      <c r="K50" s="60">
        <f t="shared" si="5"/>
        <v>1022.9999999999999</v>
      </c>
      <c r="L50" s="60">
        <f t="shared" si="5"/>
        <v>1010.3</v>
      </c>
      <c r="M50" s="60">
        <f t="shared" si="5"/>
        <v>1042.3</v>
      </c>
      <c r="N50" s="60">
        <f t="shared" si="5"/>
        <v>1042.3</v>
      </c>
      <c r="O50" s="60">
        <f t="shared" si="5"/>
        <v>1042.3</v>
      </c>
      <c r="P50" s="60">
        <f t="shared" si="5"/>
        <v>1017.3</v>
      </c>
      <c r="Q50" s="60">
        <f t="shared" si="5"/>
        <v>1027.3</v>
      </c>
      <c r="R50" s="60">
        <f t="shared" si="5"/>
        <v>1027.3</v>
      </c>
      <c r="S50" s="60">
        <f t="shared" si="5"/>
        <v>996.69999999999993</v>
      </c>
      <c r="T50" s="60">
        <f t="shared" si="5"/>
        <v>987.69999999999993</v>
      </c>
      <c r="U50" s="60">
        <f t="shared" si="5"/>
        <v>991.1</v>
      </c>
      <c r="V50" s="60">
        <f t="shared" si="5"/>
        <v>1002.1</v>
      </c>
      <c r="W50" s="60">
        <f t="shared" si="5"/>
        <v>1002.1</v>
      </c>
      <c r="X50" s="60">
        <f t="shared" si="5"/>
        <v>1002.1</v>
      </c>
      <c r="Y50" s="60">
        <f t="shared" si="5"/>
        <v>1002.1</v>
      </c>
      <c r="Z50" s="60">
        <f t="shared" si="5"/>
        <v>1085.3</v>
      </c>
      <c r="AA50" s="60">
        <f t="shared" si="5"/>
        <v>1103.5</v>
      </c>
      <c r="AB50" s="60">
        <f t="shared" si="5"/>
        <v>1098.3</v>
      </c>
      <c r="AC50" s="60">
        <f t="shared" si="5"/>
        <v>1098.3</v>
      </c>
      <c r="AD50" s="60">
        <f t="shared" si="5"/>
        <v>1098.3</v>
      </c>
      <c r="AE50" s="60">
        <f t="shared" si="5"/>
        <v>1066.4000000000001</v>
      </c>
      <c r="AF50" s="60">
        <f t="shared" si="5"/>
        <v>1066.4000000000001</v>
      </c>
      <c r="AG50" s="61">
        <f>SUM(AG13:AG48)</f>
        <v>922.14</v>
      </c>
      <c r="AH50" s="47">
        <f t="shared" si="2"/>
        <v>1103.5</v>
      </c>
      <c r="AI50" s="48">
        <f t="shared" si="3"/>
        <v>987.69999999999993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339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380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339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50</v>
      </c>
      <c r="Q52" s="64">
        <v>50</v>
      </c>
      <c r="R52" s="64">
        <v>50</v>
      </c>
      <c r="S52" s="64">
        <v>50</v>
      </c>
      <c r="T52" s="64">
        <v>50</v>
      </c>
      <c r="U52" s="64">
        <v>50</v>
      </c>
      <c r="V52" s="64">
        <v>50</v>
      </c>
      <c r="W52" s="64">
        <v>50</v>
      </c>
      <c r="X52" s="64">
        <v>50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>SUM(B51:B53)</f>
        <v>538.5</v>
      </c>
      <c r="C54" s="60">
        <f>SUM(C51:C53)</f>
        <v>538.5</v>
      </c>
      <c r="D54" s="60">
        <f>SUM(D51:D53)</f>
        <v>538.5</v>
      </c>
      <c r="E54" s="60">
        <f t="shared" ref="E54:AG54" si="6">SUM(E51:E53)</f>
        <v>538.5</v>
      </c>
      <c r="F54" s="60">
        <f t="shared" si="6"/>
        <v>538.5</v>
      </c>
      <c r="G54" s="60">
        <f t="shared" si="6"/>
        <v>538.5</v>
      </c>
      <c r="H54" s="60">
        <f t="shared" si="6"/>
        <v>538.5</v>
      </c>
      <c r="I54" s="60">
        <f t="shared" si="6"/>
        <v>538.5</v>
      </c>
      <c r="J54" s="60">
        <f t="shared" si="6"/>
        <v>538.5</v>
      </c>
      <c r="K54" s="60">
        <f t="shared" si="6"/>
        <v>538.5</v>
      </c>
      <c r="L54" s="60">
        <f t="shared" si="6"/>
        <v>538.5</v>
      </c>
      <c r="M54" s="60">
        <f t="shared" si="6"/>
        <v>538.5</v>
      </c>
      <c r="N54" s="60">
        <f t="shared" si="6"/>
        <v>538.5</v>
      </c>
      <c r="O54" s="60">
        <f t="shared" si="6"/>
        <v>538.5</v>
      </c>
      <c r="P54" s="60">
        <f t="shared" si="6"/>
        <v>528.5</v>
      </c>
      <c r="Q54" s="60">
        <f t="shared" si="6"/>
        <v>528.5</v>
      </c>
      <c r="R54" s="60">
        <f t="shared" si="6"/>
        <v>528.5</v>
      </c>
      <c r="S54" s="60">
        <f t="shared" si="6"/>
        <v>411.5</v>
      </c>
      <c r="T54" s="60">
        <f t="shared" si="6"/>
        <v>528.4</v>
      </c>
      <c r="U54" s="60">
        <f t="shared" si="6"/>
        <v>528.4</v>
      </c>
      <c r="V54" s="60">
        <f t="shared" si="6"/>
        <v>528.4</v>
      </c>
      <c r="W54" s="60">
        <f t="shared" si="6"/>
        <v>528.4</v>
      </c>
      <c r="X54" s="60">
        <f t="shared" si="6"/>
        <v>528.4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462.4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538.5</v>
      </c>
      <c r="AI54" s="48">
        <f t="shared" si="3"/>
        <v>411.5</v>
      </c>
      <c r="AK54" s="50"/>
    </row>
    <row r="55" spans="1:41" x14ac:dyDescent="0.25">
      <c r="A55" s="44" t="s">
        <v>63</v>
      </c>
      <c r="B55" s="45">
        <v>133.9</v>
      </c>
      <c r="C55" s="45">
        <v>121.1</v>
      </c>
      <c r="D55" s="45">
        <v>133.6</v>
      </c>
      <c r="E55" s="45">
        <v>133.30000000000001</v>
      </c>
      <c r="F55" s="45">
        <v>134.69999999999999</v>
      </c>
      <c r="G55" s="45">
        <v>121.6</v>
      </c>
      <c r="H55" s="45">
        <v>121</v>
      </c>
      <c r="I55" s="45">
        <v>105</v>
      </c>
      <c r="J55" s="45">
        <v>101</v>
      </c>
      <c r="K55" s="45">
        <v>101.4</v>
      </c>
      <c r="L55" s="45">
        <v>51.5</v>
      </c>
      <c r="M55" s="45">
        <v>121</v>
      </c>
      <c r="N55" s="45">
        <v>121</v>
      </c>
      <c r="O55" s="45">
        <v>121</v>
      </c>
      <c r="P55" s="45">
        <v>101</v>
      </c>
      <c r="Q55" s="45">
        <v>101</v>
      </c>
      <c r="R55" s="45">
        <v>101</v>
      </c>
      <c r="S55" s="45">
        <v>132.30000000000001</v>
      </c>
      <c r="T55" s="45">
        <v>127.3</v>
      </c>
      <c r="U55" s="45">
        <v>117.4</v>
      </c>
      <c r="V55" s="45">
        <v>119.3</v>
      </c>
      <c r="W55" s="45">
        <v>119.3</v>
      </c>
      <c r="X55" s="45">
        <v>119.4</v>
      </c>
      <c r="Y55" s="45">
        <v>134.1</v>
      </c>
      <c r="Z55" s="45">
        <v>134.1</v>
      </c>
      <c r="AA55" s="45">
        <v>134.1</v>
      </c>
      <c r="AB55" s="45">
        <v>134.5</v>
      </c>
      <c r="AC55" s="45">
        <v>134.5</v>
      </c>
      <c r="AD55" s="45">
        <v>134.5</v>
      </c>
      <c r="AE55" s="45">
        <v>134.5</v>
      </c>
      <c r="AF55" s="45" t="s">
        <v>263</v>
      </c>
      <c r="AG55" s="51">
        <v>144</v>
      </c>
      <c r="AH55" s="47">
        <f t="shared" si="2"/>
        <v>134.69999999999999</v>
      </c>
      <c r="AI55" s="48">
        <f t="shared" si="3"/>
        <v>51.5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51.4</v>
      </c>
      <c r="E56" s="64">
        <v>51.4</v>
      </c>
      <c r="F56" s="64">
        <v>50.9</v>
      </c>
      <c r="G56" s="64">
        <v>51</v>
      </c>
      <c r="H56" s="64">
        <v>51</v>
      </c>
      <c r="I56" s="64">
        <v>46.2</v>
      </c>
      <c r="J56" s="64">
        <v>50.2</v>
      </c>
      <c r="K56" s="64">
        <v>59.4</v>
      </c>
      <c r="L56" s="64">
        <v>59.3</v>
      </c>
      <c r="M56" s="64">
        <v>68</v>
      </c>
      <c r="N56" s="64">
        <v>68</v>
      </c>
      <c r="O56" s="64">
        <v>68</v>
      </c>
      <c r="P56" s="64">
        <v>61</v>
      </c>
      <c r="Q56" s="64">
        <v>61</v>
      </c>
      <c r="R56" s="64">
        <v>61</v>
      </c>
      <c r="S56" s="45">
        <v>69.400000000000006</v>
      </c>
      <c r="T56" s="45">
        <v>60.7</v>
      </c>
      <c r="U56" s="45">
        <v>59.1</v>
      </c>
      <c r="V56" s="45">
        <v>59.7</v>
      </c>
      <c r="W56" s="45">
        <v>59.7</v>
      </c>
      <c r="X56" s="45">
        <v>59.8</v>
      </c>
      <c r="Y56" s="45">
        <v>59.8</v>
      </c>
      <c r="Z56" s="45">
        <v>59.8</v>
      </c>
      <c r="AA56" s="45">
        <v>70.099999999999994</v>
      </c>
      <c r="AB56" s="45">
        <v>70.2</v>
      </c>
      <c r="AC56" s="45">
        <v>70.2</v>
      </c>
      <c r="AD56" s="45">
        <v>70.2</v>
      </c>
      <c r="AE56" s="45">
        <v>70.2</v>
      </c>
      <c r="AF56" s="45">
        <v>60</v>
      </c>
      <c r="AG56" s="54">
        <v>70</v>
      </c>
      <c r="AH56" s="47">
        <f t="shared" si="2"/>
        <v>70.2</v>
      </c>
      <c r="AI56" s="48">
        <f t="shared" si="3"/>
        <v>46.2</v>
      </c>
      <c r="AK56" s="50"/>
    </row>
    <row r="57" spans="1:41" x14ac:dyDescent="0.25">
      <c r="A57" s="53" t="s">
        <v>65</v>
      </c>
      <c r="B57" s="64">
        <v>64.400000000000006</v>
      </c>
      <c r="C57" s="64">
        <v>64.400000000000006</v>
      </c>
      <c r="D57" s="64">
        <v>63.5</v>
      </c>
      <c r="E57" s="64">
        <v>55</v>
      </c>
      <c r="F57" s="64">
        <v>55.7</v>
      </c>
      <c r="G57" s="64">
        <v>64</v>
      </c>
      <c r="H57" s="64">
        <v>65</v>
      </c>
      <c r="I57" s="64">
        <v>49.7</v>
      </c>
      <c r="J57" s="64">
        <v>63.2</v>
      </c>
      <c r="K57" s="64">
        <v>63.5</v>
      </c>
      <c r="L57" s="64">
        <v>64.900000000000006</v>
      </c>
      <c r="M57" s="64">
        <v>64.5</v>
      </c>
      <c r="N57" s="64">
        <v>64.5</v>
      </c>
      <c r="O57" s="64">
        <v>64.5</v>
      </c>
      <c r="P57" s="64">
        <v>64</v>
      </c>
      <c r="Q57" s="64">
        <v>64</v>
      </c>
      <c r="R57" s="64">
        <v>64</v>
      </c>
      <c r="S57" s="45">
        <v>63.4</v>
      </c>
      <c r="T57" s="45">
        <v>60.9</v>
      </c>
      <c r="U57" s="45">
        <v>59.7</v>
      </c>
      <c r="V57" s="45">
        <v>60.6</v>
      </c>
      <c r="W57" s="45">
        <v>60.6</v>
      </c>
      <c r="X57" s="45">
        <v>60.5</v>
      </c>
      <c r="Y57" s="45">
        <v>60.5</v>
      </c>
      <c r="Z57" s="45">
        <v>60.5</v>
      </c>
      <c r="AA57" s="45">
        <v>64.5</v>
      </c>
      <c r="AB57" s="45">
        <v>65.3</v>
      </c>
      <c r="AC57" s="45">
        <v>65.3</v>
      </c>
      <c r="AD57" s="45">
        <v>65.3</v>
      </c>
      <c r="AE57" s="45">
        <v>60</v>
      </c>
      <c r="AF57" s="45">
        <v>60</v>
      </c>
      <c r="AG57" s="54">
        <v>69</v>
      </c>
      <c r="AH57" s="47">
        <f t="shared" si="2"/>
        <v>65.3</v>
      </c>
      <c r="AI57" s="48">
        <f t="shared" si="3"/>
        <v>49.7</v>
      </c>
      <c r="AK57" s="50"/>
    </row>
    <row r="58" spans="1:41" x14ac:dyDescent="0.25">
      <c r="A58" s="53" t="s">
        <v>66</v>
      </c>
      <c r="B58" s="64">
        <v>55</v>
      </c>
      <c r="C58" s="64">
        <v>55</v>
      </c>
      <c r="D58" s="64">
        <v>45</v>
      </c>
      <c r="E58" s="64">
        <v>45</v>
      </c>
      <c r="F58" s="56">
        <v>40.799999999999997</v>
      </c>
      <c r="G58" s="56">
        <v>40.6</v>
      </c>
      <c r="H58" s="56">
        <v>40.6</v>
      </c>
      <c r="I58" s="56">
        <v>40.6</v>
      </c>
      <c r="J58" s="56">
        <v>41.1</v>
      </c>
      <c r="K58" s="56">
        <v>40.799999999999997</v>
      </c>
      <c r="L58" s="56">
        <v>60.2</v>
      </c>
      <c r="M58" s="56">
        <v>60.2</v>
      </c>
      <c r="N58" s="56">
        <v>60.2</v>
      </c>
      <c r="O58" s="56">
        <v>60.2</v>
      </c>
      <c r="P58" s="56">
        <v>0</v>
      </c>
      <c r="Q58" s="56">
        <v>0</v>
      </c>
      <c r="R58" s="56">
        <v>0</v>
      </c>
      <c r="S58" s="45">
        <v>0</v>
      </c>
      <c r="T58" s="45">
        <v>0</v>
      </c>
      <c r="U58" s="45">
        <v>0</v>
      </c>
      <c r="V58" s="45">
        <v>21.9</v>
      </c>
      <c r="W58" s="45">
        <v>21.9</v>
      </c>
      <c r="X58" s="45">
        <v>21.9</v>
      </c>
      <c r="Y58" s="45">
        <v>21.9</v>
      </c>
      <c r="Z58" s="45">
        <v>21.9</v>
      </c>
      <c r="AA58" s="45">
        <v>30.5</v>
      </c>
      <c r="AB58" s="45">
        <v>60.2</v>
      </c>
      <c r="AC58" s="45">
        <v>60.2</v>
      </c>
      <c r="AD58" s="45">
        <v>60.2</v>
      </c>
      <c r="AE58" s="45">
        <v>50.9</v>
      </c>
      <c r="AF58" s="45">
        <v>50.9</v>
      </c>
      <c r="AG58" s="54">
        <v>60</v>
      </c>
      <c r="AH58" s="47">
        <f t="shared" si="2"/>
        <v>60.2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45">
        <v>30</v>
      </c>
      <c r="T59" s="45">
        <v>30</v>
      </c>
      <c r="U59" s="45">
        <v>30</v>
      </c>
      <c r="V59" s="45">
        <v>30</v>
      </c>
      <c r="W59" s="45">
        <v>30</v>
      </c>
      <c r="X59" s="45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30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1.6</v>
      </c>
      <c r="K60" s="64">
        <v>1.6</v>
      </c>
      <c r="L60" s="64">
        <v>1.6</v>
      </c>
      <c r="M60" s="64">
        <v>1.6</v>
      </c>
      <c r="N60" s="64">
        <v>1.6</v>
      </c>
      <c r="O60" s="64">
        <v>1.6</v>
      </c>
      <c r="P60" s="64">
        <v>16</v>
      </c>
      <c r="Q60" s="64">
        <v>16</v>
      </c>
      <c r="R60" s="64">
        <v>16</v>
      </c>
      <c r="S60" s="45">
        <v>15.3</v>
      </c>
      <c r="T60" s="45">
        <v>12.4</v>
      </c>
      <c r="U60" s="45">
        <v>8</v>
      </c>
      <c r="V60" s="45">
        <v>3.2</v>
      </c>
      <c r="W60" s="45">
        <v>2.2999999999999998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4.5999999999999996</v>
      </c>
      <c r="Q62" s="64">
        <v>4.5999999999999996</v>
      </c>
      <c r="R62" s="64">
        <v>4.5999999999999996</v>
      </c>
      <c r="S62" s="64">
        <v>4.5999999999999996</v>
      </c>
      <c r="T62" s="64">
        <v>4.5999999999999996</v>
      </c>
      <c r="U62" s="64">
        <v>4.5999999999999996</v>
      </c>
      <c r="V62" s="64">
        <v>4.5999999999999996</v>
      </c>
      <c r="W62" s="64">
        <v>4.5999999999999996</v>
      </c>
      <c r="X62" s="64">
        <v>4.5999999999999996</v>
      </c>
      <c r="Y62" s="64">
        <v>4.5999999999999996</v>
      </c>
      <c r="Z62" s="64">
        <v>4.5999999999999996</v>
      </c>
      <c r="AA62" s="64">
        <v>4.5999999999999996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4.5999999999999996</v>
      </c>
      <c r="AI62" s="48">
        <f t="shared" si="3"/>
        <v>4.5999999999999996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</v>
      </c>
      <c r="C63" s="64">
        <v>9</v>
      </c>
      <c r="D63" s="64">
        <v>9.6</v>
      </c>
      <c r="E63" s="64">
        <v>9.6</v>
      </c>
      <c r="F63" s="64">
        <v>9.6</v>
      </c>
      <c r="G63" s="64">
        <v>9.6</v>
      </c>
      <c r="H63" s="64">
        <v>9.6</v>
      </c>
      <c r="I63" s="64">
        <v>9.6</v>
      </c>
      <c r="J63" s="64">
        <v>9.6</v>
      </c>
      <c r="K63" s="64">
        <v>9.6</v>
      </c>
      <c r="L63" s="64">
        <v>9.6</v>
      </c>
      <c r="M63" s="64">
        <v>9.6</v>
      </c>
      <c r="N63" s="64">
        <v>9.6</v>
      </c>
      <c r="O63" s="64">
        <v>9.6</v>
      </c>
      <c r="P63" s="64">
        <v>9.6</v>
      </c>
      <c r="Q63" s="64">
        <v>9.6</v>
      </c>
      <c r="R63" s="64">
        <v>9.6</v>
      </c>
      <c r="S63" s="64">
        <v>9.6</v>
      </c>
      <c r="T63" s="64">
        <v>9.1999999999999993</v>
      </c>
      <c r="U63" s="64">
        <v>9.1999999999999993</v>
      </c>
      <c r="V63" s="64">
        <v>9.1999999999999993</v>
      </c>
      <c r="W63" s="64">
        <v>9.1999999999999993</v>
      </c>
      <c r="X63" s="64">
        <v>9.1999999999999993</v>
      </c>
      <c r="Y63" s="64">
        <v>9.1999999999999993</v>
      </c>
      <c r="Z63" s="64">
        <v>9.1999999999999993</v>
      </c>
      <c r="AA63" s="64">
        <v>9.1999999999999993</v>
      </c>
      <c r="AB63" s="64">
        <v>9.1999999999999993</v>
      </c>
      <c r="AC63" s="64">
        <v>9.1999999999999993</v>
      </c>
      <c r="AD63" s="64">
        <v>9.1999999999999993</v>
      </c>
      <c r="AE63" s="64">
        <v>9.9</v>
      </c>
      <c r="AF63" s="64">
        <v>9.9</v>
      </c>
      <c r="AG63" s="54">
        <v>14.1</v>
      </c>
      <c r="AH63" s="47">
        <f t="shared" si="2"/>
        <v>9.9</v>
      </c>
      <c r="AI63" s="48">
        <f t="shared" si="3"/>
        <v>9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13.8</v>
      </c>
      <c r="C64" s="64">
        <v>13.8</v>
      </c>
      <c r="D64" s="64">
        <v>4.2</v>
      </c>
      <c r="E64" s="64">
        <v>4.2</v>
      </c>
      <c r="F64" s="64">
        <v>4.2</v>
      </c>
      <c r="G64" s="64">
        <v>7.7</v>
      </c>
      <c r="H64" s="64">
        <v>4</v>
      </c>
      <c r="I64" s="64">
        <v>4.5</v>
      </c>
      <c r="J64" s="64">
        <v>4.5</v>
      </c>
      <c r="K64" s="64">
        <v>4.5</v>
      </c>
      <c r="L64" s="64">
        <v>4.5</v>
      </c>
      <c r="M64" s="64">
        <v>4.5</v>
      </c>
      <c r="N64" s="64">
        <v>4.5</v>
      </c>
      <c r="O64" s="64">
        <v>4.5</v>
      </c>
      <c r="P64" s="64">
        <v>4.5</v>
      </c>
      <c r="Q64" s="64">
        <v>4.5</v>
      </c>
      <c r="R64" s="64">
        <v>4.5</v>
      </c>
      <c r="S64" s="64">
        <v>14</v>
      </c>
      <c r="T64" s="64">
        <v>14</v>
      </c>
      <c r="U64" s="64">
        <v>14</v>
      </c>
      <c r="V64" s="64">
        <v>6.8</v>
      </c>
      <c r="W64" s="64">
        <v>6.8</v>
      </c>
      <c r="X64" s="64">
        <v>13.8</v>
      </c>
      <c r="Y64" s="64">
        <v>13.8</v>
      </c>
      <c r="Z64" s="64">
        <v>13.8</v>
      </c>
      <c r="AA64" s="64">
        <v>4.5999999999999996</v>
      </c>
      <c r="AB64" s="64">
        <v>13</v>
      </c>
      <c r="AC64" s="64">
        <v>13</v>
      </c>
      <c r="AD64" s="64">
        <v>13</v>
      </c>
      <c r="AE64" s="64">
        <v>8.5</v>
      </c>
      <c r="AF64" s="64">
        <v>10</v>
      </c>
      <c r="AG64" s="54">
        <v>14</v>
      </c>
      <c r="AH64" s="47">
        <f t="shared" si="2"/>
        <v>14</v>
      </c>
      <c r="AI64" s="48">
        <f t="shared" si="3"/>
        <v>4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404.44000000000005</v>
      </c>
      <c r="C68" s="60">
        <f>SUM(C55:C67)</f>
        <v>391.64000000000004</v>
      </c>
      <c r="D68" s="60">
        <f>SUM(D55:D67)</f>
        <v>375.64000000000004</v>
      </c>
      <c r="E68" s="60">
        <f t="shared" ref="E68:AG68" si="7">SUM(E55:E67)</f>
        <v>366.84000000000009</v>
      </c>
      <c r="F68" s="60">
        <f t="shared" si="7"/>
        <v>364.24000000000007</v>
      </c>
      <c r="G68" s="60">
        <f t="shared" si="7"/>
        <v>362.84000000000003</v>
      </c>
      <c r="H68" s="60">
        <f t="shared" si="7"/>
        <v>359.54000000000008</v>
      </c>
      <c r="I68" s="60">
        <f t="shared" si="7"/>
        <v>323.94000000000005</v>
      </c>
      <c r="J68" s="60">
        <f t="shared" si="7"/>
        <v>339.54000000000008</v>
      </c>
      <c r="K68" s="60">
        <f t="shared" si="7"/>
        <v>349.1400000000001</v>
      </c>
      <c r="L68" s="60">
        <f t="shared" si="7"/>
        <v>319.94000000000005</v>
      </c>
      <c r="M68" s="60">
        <f t="shared" si="7"/>
        <v>397.74000000000007</v>
      </c>
      <c r="N68" s="60">
        <f t="shared" si="7"/>
        <v>397.74000000000007</v>
      </c>
      <c r="O68" s="60">
        <f t="shared" si="7"/>
        <v>397.74000000000007</v>
      </c>
      <c r="P68" s="60">
        <f t="shared" si="7"/>
        <v>324.44000000000005</v>
      </c>
      <c r="Q68" s="60">
        <f t="shared" si="7"/>
        <v>324.44000000000005</v>
      </c>
      <c r="R68" s="60">
        <f t="shared" si="7"/>
        <v>324.44000000000005</v>
      </c>
      <c r="S68" s="60">
        <f t="shared" si="7"/>
        <v>372.34000000000009</v>
      </c>
      <c r="T68" s="60">
        <f t="shared" si="7"/>
        <v>352.84</v>
      </c>
      <c r="U68" s="60">
        <f t="shared" si="7"/>
        <v>335.74</v>
      </c>
      <c r="V68" s="60">
        <f t="shared" si="7"/>
        <v>349.04</v>
      </c>
      <c r="W68" s="60">
        <f t="shared" si="7"/>
        <v>348.14000000000004</v>
      </c>
      <c r="X68" s="60">
        <f t="shared" si="7"/>
        <v>352.94</v>
      </c>
      <c r="Y68" s="60">
        <f t="shared" si="7"/>
        <v>367.64</v>
      </c>
      <c r="Z68" s="60">
        <f t="shared" si="7"/>
        <v>367.64</v>
      </c>
      <c r="AA68" s="60">
        <f t="shared" si="7"/>
        <v>381.34000000000003</v>
      </c>
      <c r="AB68" s="60">
        <f t="shared" si="7"/>
        <v>420.74</v>
      </c>
      <c r="AC68" s="60">
        <f t="shared" si="7"/>
        <v>420.74</v>
      </c>
      <c r="AD68" s="60">
        <f t="shared" si="7"/>
        <v>420.74</v>
      </c>
      <c r="AE68" s="60">
        <f t="shared" si="7"/>
        <v>402.34</v>
      </c>
      <c r="AF68" s="60">
        <f t="shared" si="7"/>
        <v>259.14</v>
      </c>
      <c r="AG68" s="61">
        <f t="shared" si="7"/>
        <v>489.91</v>
      </c>
      <c r="AH68" s="47">
        <f t="shared" si="2"/>
        <v>420.74</v>
      </c>
      <c r="AI68" s="48">
        <f t="shared" si="3"/>
        <v>259.14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40</v>
      </c>
      <c r="T69" s="45">
        <v>45</v>
      </c>
      <c r="U69" s="45">
        <v>40</v>
      </c>
      <c r="V69" s="45">
        <v>40</v>
      </c>
      <c r="W69" s="45">
        <v>40</v>
      </c>
      <c r="X69" s="45">
        <v>40</v>
      </c>
      <c r="Y69" s="45">
        <v>40</v>
      </c>
      <c r="Z69" s="45">
        <v>0</v>
      </c>
      <c r="AA69" s="45">
        <v>0</v>
      </c>
      <c r="AB69" s="45"/>
      <c r="AC69" s="45"/>
      <c r="AD69" s="45"/>
      <c r="AE69" s="45"/>
      <c r="AF69" s="45"/>
      <c r="AG69" s="51">
        <v>60</v>
      </c>
      <c r="AH69" s="47">
        <f t="shared" si="2"/>
        <v>45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>
        <v>0</v>
      </c>
      <c r="F70" s="64">
        <v>0</v>
      </c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16.8</v>
      </c>
      <c r="T70" s="64">
        <v>22.4</v>
      </c>
      <c r="U70" s="64">
        <v>21.7</v>
      </c>
      <c r="V70" s="64">
        <v>15.9</v>
      </c>
      <c r="W70" s="64">
        <v>15.9</v>
      </c>
      <c r="X70" s="64">
        <v>15.9</v>
      </c>
      <c r="Y70" s="64">
        <v>15.9</v>
      </c>
      <c r="Z70" s="64">
        <v>13.9</v>
      </c>
      <c r="AA70" s="64">
        <v>0</v>
      </c>
      <c r="AB70" s="64"/>
      <c r="AC70" s="64"/>
      <c r="AD70" s="64"/>
      <c r="AE70" s="64"/>
      <c r="AF70" s="64"/>
      <c r="AG70" s="54">
        <v>32</v>
      </c>
      <c r="AH70" s="47">
        <f t="shared" si="2"/>
        <v>22.4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>
        <v>0</v>
      </c>
      <c r="F71" s="66">
        <v>0</v>
      </c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6.1</v>
      </c>
      <c r="T71" s="66">
        <v>8.1</v>
      </c>
      <c r="U71" s="66">
        <v>7.9</v>
      </c>
      <c r="V71" s="66">
        <v>5.8</v>
      </c>
      <c r="W71" s="66">
        <v>5.8</v>
      </c>
      <c r="X71" s="66">
        <v>5.8</v>
      </c>
      <c r="Y71" s="66">
        <v>5.8</v>
      </c>
      <c r="Z71" s="66">
        <v>5.0999999999999996</v>
      </c>
      <c r="AA71" s="66">
        <v>0</v>
      </c>
      <c r="AB71" s="66"/>
      <c r="AC71" s="66"/>
      <c r="AD71" s="66"/>
      <c r="AE71" s="66"/>
      <c r="AF71" s="66"/>
      <c r="AG71" s="67">
        <v>14</v>
      </c>
      <c r="AH71" s="47">
        <f t="shared" si="2"/>
        <v>8.1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 t="shared" si="8"/>
        <v>62.9</v>
      </c>
      <c r="T72" s="60">
        <f t="shared" si="8"/>
        <v>75.5</v>
      </c>
      <c r="U72" s="60">
        <f t="shared" si="8"/>
        <v>69.600000000000009</v>
      </c>
      <c r="V72" s="60">
        <f t="shared" si="8"/>
        <v>61.699999999999996</v>
      </c>
      <c r="W72" s="60">
        <f t="shared" si="8"/>
        <v>61.699999999999996</v>
      </c>
      <c r="X72" s="60">
        <f t="shared" si="8"/>
        <v>61.699999999999996</v>
      </c>
      <c r="Y72" s="60">
        <f t="shared" si="8"/>
        <v>61.699999999999996</v>
      </c>
      <c r="Z72" s="60">
        <f t="shared" si="8"/>
        <v>19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75.5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2.2000000000000002</v>
      </c>
      <c r="C73" s="45">
        <v>2.2000000000000002</v>
      </c>
      <c r="D73" s="45">
        <v>-15</v>
      </c>
      <c r="E73" s="45">
        <v>-25</v>
      </c>
      <c r="F73" s="45">
        <v>-38</v>
      </c>
      <c r="G73" s="45">
        <v>-45</v>
      </c>
      <c r="H73" s="45">
        <v>-45</v>
      </c>
      <c r="I73" s="45">
        <v>-50</v>
      </c>
      <c r="J73" s="45">
        <v>-40</v>
      </c>
      <c r="K73" s="45">
        <v>-17.8</v>
      </c>
      <c r="L73" s="45">
        <v>-18</v>
      </c>
      <c r="M73" s="45">
        <v>-14</v>
      </c>
      <c r="N73" s="45">
        <v>-20</v>
      </c>
      <c r="O73" s="45">
        <v>-15.5</v>
      </c>
      <c r="P73" s="45">
        <v>-14.3</v>
      </c>
      <c r="Q73" s="45">
        <v>-1.8</v>
      </c>
      <c r="R73" s="45">
        <v>-8.6</v>
      </c>
      <c r="S73" s="45">
        <v>-6.1</v>
      </c>
      <c r="T73" s="45">
        <v>0</v>
      </c>
      <c r="U73" s="45">
        <v>-35</v>
      </c>
      <c r="V73" s="45">
        <v>-27.1</v>
      </c>
      <c r="W73" s="45">
        <v>-20</v>
      </c>
      <c r="X73" s="45">
        <v>-18.5</v>
      </c>
      <c r="Y73" s="45">
        <v>-22.9</v>
      </c>
      <c r="Z73" s="45">
        <v>-13.5</v>
      </c>
      <c r="AA73" s="45">
        <v>8.5</v>
      </c>
      <c r="AB73" s="45">
        <v>16</v>
      </c>
      <c r="AC73" s="45">
        <v>-1.8</v>
      </c>
      <c r="AD73" s="45">
        <v>1.2</v>
      </c>
      <c r="AE73" s="45">
        <v>-2.5</v>
      </c>
      <c r="AF73" s="45">
        <v>-2.9</v>
      </c>
      <c r="AG73" s="51"/>
      <c r="AH73" s="47">
        <f t="shared" si="2"/>
        <v>16</v>
      </c>
      <c r="AI73" s="48">
        <f t="shared" si="3"/>
        <v>-50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-333.3</v>
      </c>
      <c r="C75" s="64">
        <v>-333.3</v>
      </c>
      <c r="D75" s="64">
        <v>-324.5</v>
      </c>
      <c r="E75" s="64">
        <v>-340</v>
      </c>
      <c r="F75" s="64">
        <v>-349.5</v>
      </c>
      <c r="G75" s="64">
        <v>-369.9</v>
      </c>
      <c r="H75" s="64">
        <v>-410</v>
      </c>
      <c r="I75" s="64">
        <v>-450</v>
      </c>
      <c r="J75" s="64">
        <v>-469</v>
      </c>
      <c r="K75" s="64">
        <v>-456</v>
      </c>
      <c r="L75" s="64">
        <v>-442.9</v>
      </c>
      <c r="M75" s="64">
        <v>-464</v>
      </c>
      <c r="N75" s="64">
        <v>-456</v>
      </c>
      <c r="O75" s="64">
        <v>-415</v>
      </c>
      <c r="P75" s="64">
        <v>-401</v>
      </c>
      <c r="Q75" s="64">
        <v>-437</v>
      </c>
      <c r="R75" s="64">
        <v>-422</v>
      </c>
      <c r="S75" s="64">
        <v>-303.7</v>
      </c>
      <c r="T75" s="64">
        <v>-403</v>
      </c>
      <c r="U75" s="64">
        <v>-423</v>
      </c>
      <c r="V75" s="64">
        <v>-483</v>
      </c>
      <c r="W75" s="64">
        <v>-494</v>
      </c>
      <c r="X75" s="64">
        <v>-484</v>
      </c>
      <c r="Y75" s="64">
        <v>-436</v>
      </c>
      <c r="Z75" s="64">
        <v>-363.1</v>
      </c>
      <c r="AA75" s="64">
        <v>-334.8</v>
      </c>
      <c r="AB75" s="64">
        <v>-353.2</v>
      </c>
      <c r="AC75" s="64">
        <v>-322</v>
      </c>
      <c r="AD75" s="64">
        <v>-275</v>
      </c>
      <c r="AE75" s="64">
        <v>-349</v>
      </c>
      <c r="AF75" s="64">
        <v>-335</v>
      </c>
      <c r="AG75" s="74"/>
      <c r="AH75" s="47">
        <f t="shared" si="2"/>
        <v>-275</v>
      </c>
      <c r="AI75" s="48">
        <f t="shared" si="3"/>
        <v>-494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76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76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76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76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76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>SUMIF(B73:B83,"&gt;0")</f>
        <v>2.2000000000000002</v>
      </c>
      <c r="C84" s="60">
        <f t="shared" ref="C84:AF84" si="11">SUMIF(C73:C83,"&gt;0")</f>
        <v>2.2000000000000002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0</v>
      </c>
      <c r="AA84" s="60">
        <f t="shared" si="11"/>
        <v>8.5</v>
      </c>
      <c r="AB84" s="60">
        <f t="shared" si="11"/>
        <v>16</v>
      </c>
      <c r="AC84" s="60">
        <f t="shared" si="11"/>
        <v>0</v>
      </c>
      <c r="AD84" s="60">
        <f t="shared" si="11"/>
        <v>1.2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16</v>
      </c>
      <c r="AI84" s="48">
        <f t="shared" si="10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>B50+B54+B72+B68+B84+B88</f>
        <v>1985.34</v>
      </c>
      <c r="C89" s="94">
        <f t="shared" ref="C89:AG89" si="12">C50+C54+C72+C68+C84+C88</f>
        <v>1940.14</v>
      </c>
      <c r="D89" s="94">
        <f t="shared" si="12"/>
        <v>1949.64</v>
      </c>
      <c r="E89" s="94">
        <f t="shared" si="12"/>
        <v>1940.8400000000001</v>
      </c>
      <c r="F89" s="94">
        <f t="shared" si="12"/>
        <v>1938.24</v>
      </c>
      <c r="G89" s="94">
        <f t="shared" si="12"/>
        <v>1936.94</v>
      </c>
      <c r="H89" s="94">
        <f t="shared" si="12"/>
        <v>1935.6399999999999</v>
      </c>
      <c r="I89" s="94">
        <f t="shared" si="12"/>
        <v>1895.44</v>
      </c>
      <c r="J89" s="94">
        <f t="shared" si="12"/>
        <v>1900.6399999999999</v>
      </c>
      <c r="K89" s="94">
        <f t="shared" si="12"/>
        <v>1910.64</v>
      </c>
      <c r="L89" s="94">
        <f t="shared" si="12"/>
        <v>1868.74</v>
      </c>
      <c r="M89" s="94">
        <f t="shared" si="12"/>
        <v>1978.54</v>
      </c>
      <c r="N89" s="94">
        <f t="shared" si="12"/>
        <v>1978.54</v>
      </c>
      <c r="O89" s="94">
        <f t="shared" si="12"/>
        <v>1978.54</v>
      </c>
      <c r="P89" s="94">
        <f t="shared" si="12"/>
        <v>1870.24</v>
      </c>
      <c r="Q89" s="94">
        <f t="shared" si="12"/>
        <v>1880.24</v>
      </c>
      <c r="R89" s="94">
        <f t="shared" si="12"/>
        <v>1880.24</v>
      </c>
      <c r="S89" s="94">
        <f t="shared" si="12"/>
        <v>1843.44</v>
      </c>
      <c r="T89" s="94">
        <f t="shared" si="12"/>
        <v>1944.4399999999998</v>
      </c>
      <c r="U89" s="94">
        <f t="shared" si="12"/>
        <v>1924.84</v>
      </c>
      <c r="V89" s="94">
        <f t="shared" si="12"/>
        <v>1941.24</v>
      </c>
      <c r="W89" s="94">
        <f t="shared" si="12"/>
        <v>1940.3400000000001</v>
      </c>
      <c r="X89" s="94">
        <f t="shared" si="12"/>
        <v>1945.14</v>
      </c>
      <c r="Y89" s="94">
        <f t="shared" si="12"/>
        <v>1969.8400000000001</v>
      </c>
      <c r="Z89" s="94">
        <f t="shared" si="12"/>
        <v>2010.3399999999997</v>
      </c>
      <c r="AA89" s="94">
        <f t="shared" si="12"/>
        <v>2031.7400000000002</v>
      </c>
      <c r="AB89" s="94">
        <f t="shared" si="12"/>
        <v>2073.4399999999996</v>
      </c>
      <c r="AC89" s="94">
        <f t="shared" si="12"/>
        <v>2057.4399999999996</v>
      </c>
      <c r="AD89" s="94">
        <f t="shared" si="12"/>
        <v>1982.6399999999999</v>
      </c>
      <c r="AE89" s="94">
        <f t="shared" si="12"/>
        <v>2007.14</v>
      </c>
      <c r="AF89" s="94">
        <f t="shared" si="12"/>
        <v>1863.94</v>
      </c>
      <c r="AG89" s="61">
        <f t="shared" si="12"/>
        <v>2111.5500000000002</v>
      </c>
      <c r="AH89" s="47">
        <f t="shared" si="9"/>
        <v>2073.4399999999996</v>
      </c>
      <c r="AI89" s="48">
        <f t="shared" si="10"/>
        <v>1843.44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>
        <v>41</v>
      </c>
      <c r="J90" s="96">
        <v>41</v>
      </c>
      <c r="K90" s="96">
        <v>41</v>
      </c>
      <c r="L90" s="96">
        <v>90</v>
      </c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90</v>
      </c>
      <c r="AI90" s="48">
        <f t="shared" si="10"/>
        <v>41</v>
      </c>
    </row>
    <row r="91" spans="1:40" ht="15.75" thickBot="1" x14ac:dyDescent="0.3">
      <c r="A91" s="73" t="s">
        <v>102</v>
      </c>
      <c r="B91" s="94">
        <f>B89+B90</f>
        <v>1985.34</v>
      </c>
      <c r="C91" s="94">
        <f t="shared" ref="C91:AF91" si="13">C89+C90</f>
        <v>1940.14</v>
      </c>
      <c r="D91" s="94">
        <f t="shared" si="13"/>
        <v>1949.64</v>
      </c>
      <c r="E91" s="94">
        <f t="shared" si="13"/>
        <v>1940.8400000000001</v>
      </c>
      <c r="F91" s="94">
        <f t="shared" si="13"/>
        <v>1938.24</v>
      </c>
      <c r="G91" s="94">
        <f t="shared" si="13"/>
        <v>1936.94</v>
      </c>
      <c r="H91" s="94">
        <f t="shared" si="13"/>
        <v>1935.6399999999999</v>
      </c>
      <c r="I91" s="94">
        <f t="shared" si="13"/>
        <v>1936.44</v>
      </c>
      <c r="J91" s="94">
        <f t="shared" si="13"/>
        <v>1941.6399999999999</v>
      </c>
      <c r="K91" s="94">
        <f t="shared" si="13"/>
        <v>1951.64</v>
      </c>
      <c r="L91" s="94">
        <f t="shared" si="13"/>
        <v>1958.74</v>
      </c>
      <c r="M91" s="94">
        <f t="shared" si="13"/>
        <v>1978.54</v>
      </c>
      <c r="N91" s="94">
        <f t="shared" si="13"/>
        <v>1978.54</v>
      </c>
      <c r="O91" s="94">
        <f t="shared" si="13"/>
        <v>1978.54</v>
      </c>
      <c r="P91" s="94">
        <f t="shared" si="13"/>
        <v>1870.24</v>
      </c>
      <c r="Q91" s="94">
        <f t="shared" si="13"/>
        <v>1880.24</v>
      </c>
      <c r="R91" s="94">
        <f t="shared" si="13"/>
        <v>1880.24</v>
      </c>
      <c r="S91" s="94">
        <f t="shared" si="13"/>
        <v>1843.44</v>
      </c>
      <c r="T91" s="94">
        <f t="shared" si="13"/>
        <v>1944.4399999999998</v>
      </c>
      <c r="U91" s="94">
        <f t="shared" si="13"/>
        <v>1924.84</v>
      </c>
      <c r="V91" s="94">
        <f t="shared" si="13"/>
        <v>1941.24</v>
      </c>
      <c r="W91" s="94">
        <f t="shared" si="13"/>
        <v>1940.3400000000001</v>
      </c>
      <c r="X91" s="94">
        <f t="shared" si="13"/>
        <v>1945.14</v>
      </c>
      <c r="Y91" s="94">
        <f t="shared" si="13"/>
        <v>1969.8400000000001</v>
      </c>
      <c r="Z91" s="94">
        <f t="shared" si="13"/>
        <v>2010.3399999999997</v>
      </c>
      <c r="AA91" s="94">
        <f t="shared" si="13"/>
        <v>2031.7400000000002</v>
      </c>
      <c r="AB91" s="94">
        <f t="shared" si="13"/>
        <v>2073.4399999999996</v>
      </c>
      <c r="AC91" s="94">
        <f t="shared" si="13"/>
        <v>2057.4399999999996</v>
      </c>
      <c r="AD91" s="94">
        <f t="shared" si="13"/>
        <v>1982.6399999999999</v>
      </c>
      <c r="AE91" s="94">
        <f t="shared" si="13"/>
        <v>2007.14</v>
      </c>
      <c r="AF91" s="94">
        <f t="shared" si="13"/>
        <v>1863.94</v>
      </c>
      <c r="AG91" s="87">
        <f>AG88+AG84+AG72+AG68+AG50+AG90</f>
        <v>1573.45</v>
      </c>
      <c r="AH91" s="47">
        <f t="shared" si="9"/>
        <v>2073.4399999999996</v>
      </c>
      <c r="AI91" s="48">
        <f t="shared" si="10"/>
        <v>1843.44</v>
      </c>
    </row>
    <row r="92" spans="1:40" ht="15.75" thickBot="1" x14ac:dyDescent="0.3">
      <c r="A92" s="73" t="s">
        <v>103</v>
      </c>
      <c r="B92" s="94">
        <f>B91-B99</f>
        <v>1985.34</v>
      </c>
      <c r="C92" s="94">
        <f t="shared" ref="C92:AF92" si="14">C91-C99</f>
        <v>1940.14</v>
      </c>
      <c r="D92" s="94">
        <f t="shared" si="14"/>
        <v>1949.64</v>
      </c>
      <c r="E92" s="94">
        <f t="shared" si="14"/>
        <v>1940.8400000000001</v>
      </c>
      <c r="F92" s="94">
        <f t="shared" si="14"/>
        <v>1938.24</v>
      </c>
      <c r="G92" s="94">
        <f t="shared" si="14"/>
        <v>1936.94</v>
      </c>
      <c r="H92" s="94">
        <f t="shared" si="14"/>
        <v>1935.6399999999999</v>
      </c>
      <c r="I92" s="94">
        <f t="shared" si="14"/>
        <v>1936.44</v>
      </c>
      <c r="J92" s="94">
        <f t="shared" si="14"/>
        <v>1941.6399999999999</v>
      </c>
      <c r="K92" s="94">
        <f t="shared" si="14"/>
        <v>1951.64</v>
      </c>
      <c r="L92" s="94">
        <f t="shared" si="14"/>
        <v>1958.74</v>
      </c>
      <c r="M92" s="94">
        <f t="shared" si="14"/>
        <v>1978.54</v>
      </c>
      <c r="N92" s="94">
        <f t="shared" si="14"/>
        <v>1978.54</v>
      </c>
      <c r="O92" s="94">
        <f t="shared" si="14"/>
        <v>1978.54</v>
      </c>
      <c r="P92" s="94">
        <f t="shared" si="14"/>
        <v>1870.24</v>
      </c>
      <c r="Q92" s="94">
        <f t="shared" si="14"/>
        <v>1880.24</v>
      </c>
      <c r="R92" s="94">
        <f t="shared" si="14"/>
        <v>1880.24</v>
      </c>
      <c r="S92" s="94">
        <f t="shared" si="14"/>
        <v>1843.44</v>
      </c>
      <c r="T92" s="94">
        <f t="shared" si="14"/>
        <v>1944.4399999999998</v>
      </c>
      <c r="U92" s="94">
        <f t="shared" si="14"/>
        <v>1924.84</v>
      </c>
      <c r="V92" s="94">
        <f t="shared" si="14"/>
        <v>1941.24</v>
      </c>
      <c r="W92" s="94">
        <f t="shared" si="14"/>
        <v>1940.3400000000001</v>
      </c>
      <c r="X92" s="94">
        <f t="shared" si="14"/>
        <v>1945.14</v>
      </c>
      <c r="Y92" s="94">
        <f t="shared" si="14"/>
        <v>1969.8400000000001</v>
      </c>
      <c r="Z92" s="94">
        <f t="shared" si="14"/>
        <v>2010.3399999999997</v>
      </c>
      <c r="AA92" s="94">
        <f t="shared" si="14"/>
        <v>2031.7400000000002</v>
      </c>
      <c r="AB92" s="94">
        <f t="shared" si="14"/>
        <v>2073.4399999999996</v>
      </c>
      <c r="AC92" s="94">
        <f t="shared" si="14"/>
        <v>2057.4399999999996</v>
      </c>
      <c r="AD92" s="94">
        <f t="shared" si="14"/>
        <v>1982.6399999999999</v>
      </c>
      <c r="AE92" s="94">
        <f t="shared" si="14"/>
        <v>2007.14</v>
      </c>
      <c r="AF92" s="94">
        <f t="shared" si="14"/>
        <v>1863.94</v>
      </c>
      <c r="AG92" s="87"/>
      <c r="AH92" s="47">
        <f t="shared" si="9"/>
        <v>2073.4399999999996</v>
      </c>
      <c r="AI92" s="48">
        <f t="shared" si="10"/>
        <v>1843.44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9"/>
        <v>0</v>
      </c>
      <c r="AI99" s="48">
        <f t="shared" si="10"/>
        <v>0</v>
      </c>
      <c r="AK99" s="50"/>
    </row>
    <row r="100" spans="1:37" ht="15.75" thickBot="1" x14ac:dyDescent="0.3">
      <c r="A100" s="73" t="s">
        <v>108</v>
      </c>
      <c r="B100" s="60">
        <f>B84-B99</f>
        <v>2.2000000000000002</v>
      </c>
      <c r="C100" s="60">
        <f t="shared" ref="C100:AF100" si="15">C84-C99</f>
        <v>2.2000000000000002</v>
      </c>
      <c r="D100" s="60">
        <f t="shared" si="15"/>
        <v>0</v>
      </c>
      <c r="E100" s="60">
        <f t="shared" si="15"/>
        <v>0</v>
      </c>
      <c r="F100" s="60">
        <f t="shared" si="15"/>
        <v>0</v>
      </c>
      <c r="G100" s="60">
        <f t="shared" si="15"/>
        <v>0</v>
      </c>
      <c r="H100" s="60">
        <f t="shared" si="15"/>
        <v>0</v>
      </c>
      <c r="I100" s="60">
        <f t="shared" si="15"/>
        <v>0</v>
      </c>
      <c r="J100" s="60">
        <f t="shared" si="15"/>
        <v>0</v>
      </c>
      <c r="K100" s="60">
        <f t="shared" si="15"/>
        <v>0</v>
      </c>
      <c r="L100" s="60">
        <f t="shared" si="15"/>
        <v>0</v>
      </c>
      <c r="M100" s="60">
        <f t="shared" si="15"/>
        <v>0</v>
      </c>
      <c r="N100" s="60">
        <f t="shared" si="15"/>
        <v>0</v>
      </c>
      <c r="O100" s="60">
        <f t="shared" si="15"/>
        <v>0</v>
      </c>
      <c r="P100" s="60">
        <f t="shared" si="15"/>
        <v>0</v>
      </c>
      <c r="Q100" s="60">
        <f t="shared" si="15"/>
        <v>0</v>
      </c>
      <c r="R100" s="60">
        <f t="shared" si="15"/>
        <v>0</v>
      </c>
      <c r="S100" s="60">
        <f t="shared" si="15"/>
        <v>0</v>
      </c>
      <c r="T100" s="60">
        <f t="shared" si="15"/>
        <v>0</v>
      </c>
      <c r="U100" s="60">
        <f t="shared" si="15"/>
        <v>0</v>
      </c>
      <c r="V100" s="60">
        <f t="shared" si="15"/>
        <v>0</v>
      </c>
      <c r="W100" s="60">
        <f t="shared" si="15"/>
        <v>0</v>
      </c>
      <c r="X100" s="60">
        <f t="shared" si="15"/>
        <v>0</v>
      </c>
      <c r="Y100" s="60">
        <f t="shared" si="15"/>
        <v>0</v>
      </c>
      <c r="Z100" s="60">
        <f t="shared" si="15"/>
        <v>0</v>
      </c>
      <c r="AA100" s="60">
        <f t="shared" si="15"/>
        <v>8.5</v>
      </c>
      <c r="AB100" s="60">
        <f t="shared" si="15"/>
        <v>16</v>
      </c>
      <c r="AC100" s="60">
        <f t="shared" si="15"/>
        <v>0</v>
      </c>
      <c r="AD100" s="60">
        <f t="shared" si="15"/>
        <v>1.2</v>
      </c>
      <c r="AE100" s="60">
        <f t="shared" si="15"/>
        <v>0</v>
      </c>
      <c r="AF100" s="60">
        <f t="shared" si="15"/>
        <v>0</v>
      </c>
      <c r="AG100" s="87"/>
      <c r="AH100" s="47">
        <f t="shared" si="9"/>
        <v>16</v>
      </c>
      <c r="AI100" s="48">
        <f t="shared" si="10"/>
        <v>0</v>
      </c>
    </row>
    <row r="101" spans="1:37" x14ac:dyDescent="0.25">
      <c r="A101" s="99" t="s">
        <v>109</v>
      </c>
      <c r="B101" s="100">
        <v>50.01</v>
      </c>
      <c r="C101" s="100">
        <v>50.02</v>
      </c>
      <c r="D101" s="100">
        <v>50.01</v>
      </c>
      <c r="E101" s="100">
        <v>50.006999999999998</v>
      </c>
      <c r="F101" s="100">
        <v>50.045000000000002</v>
      </c>
      <c r="G101" s="100">
        <v>50.048999999999999</v>
      </c>
      <c r="H101" s="100">
        <v>50.048999999999999</v>
      </c>
      <c r="I101" s="100">
        <v>50.055999999999997</v>
      </c>
      <c r="J101" s="100">
        <v>50.006</v>
      </c>
      <c r="K101" s="100">
        <v>50.052999999999997</v>
      </c>
      <c r="L101" s="100">
        <v>50.034999999999997</v>
      </c>
      <c r="M101" s="100">
        <v>50.045999999999999</v>
      </c>
      <c r="N101" s="100">
        <v>49.97</v>
      </c>
      <c r="O101" s="100">
        <v>50</v>
      </c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>
        <v>50.003999999999998</v>
      </c>
      <c r="AA101" s="100">
        <v>49.951000000000001</v>
      </c>
      <c r="AB101" s="100">
        <v>50.043999999999997</v>
      </c>
      <c r="AC101" s="100">
        <v>50.036999999999999</v>
      </c>
      <c r="AD101" s="100">
        <v>50.024999999999999</v>
      </c>
      <c r="AE101" s="100">
        <v>50.023000000000003</v>
      </c>
      <c r="AF101" s="100">
        <v>50.023000000000003</v>
      </c>
      <c r="AG101" s="101"/>
      <c r="AH101" s="47">
        <f t="shared" si="9"/>
        <v>50.055999999999997</v>
      </c>
      <c r="AI101" s="48">
        <f t="shared" si="10"/>
        <v>49.951000000000001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128.80000000000001</v>
      </c>
      <c r="C103" s="64">
        <v>130.80000000000001</v>
      </c>
      <c r="D103" s="64">
        <v>130.80000000000001</v>
      </c>
      <c r="E103" s="64">
        <v>131.19999999999999</v>
      </c>
      <c r="F103" s="64">
        <v>131.30000000000001</v>
      </c>
      <c r="G103" s="64">
        <v>120.9</v>
      </c>
      <c r="H103" s="64">
        <v>120.9</v>
      </c>
      <c r="I103" s="64">
        <v>129.69999999999999</v>
      </c>
      <c r="J103" s="64">
        <v>128.6</v>
      </c>
      <c r="K103" s="64">
        <v>126.4</v>
      </c>
      <c r="L103" s="64">
        <v>127.2</v>
      </c>
      <c r="M103" s="64">
        <v>126.8</v>
      </c>
      <c r="N103" s="64">
        <v>125.2</v>
      </c>
      <c r="O103" s="64">
        <v>126</v>
      </c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>
        <v>124.3</v>
      </c>
      <c r="AA103" s="64">
        <v>124.8</v>
      </c>
      <c r="AB103" s="64">
        <v>126.4</v>
      </c>
      <c r="AC103" s="64">
        <v>127.1</v>
      </c>
      <c r="AD103" s="64">
        <v>126.8</v>
      </c>
      <c r="AE103" s="64">
        <v>128.6</v>
      </c>
      <c r="AF103" s="64">
        <v>128.6</v>
      </c>
      <c r="AG103" s="103"/>
      <c r="AH103" s="47">
        <f t="shared" si="9"/>
        <v>131.30000000000001</v>
      </c>
      <c r="AI103" s="48">
        <f t="shared" si="10"/>
        <v>120.9</v>
      </c>
    </row>
    <row r="104" spans="1:37" x14ac:dyDescent="0.25">
      <c r="A104" s="102" t="s">
        <v>112</v>
      </c>
      <c r="B104" s="64">
        <v>127.3</v>
      </c>
      <c r="C104" s="64">
        <v>131.19999999999999</v>
      </c>
      <c r="D104" s="64">
        <v>131.19999999999999</v>
      </c>
      <c r="E104" s="64">
        <v>132.80000000000001</v>
      </c>
      <c r="F104" s="64">
        <v>129</v>
      </c>
      <c r="G104" s="64">
        <v>130.5</v>
      </c>
      <c r="H104" s="64">
        <v>130.5</v>
      </c>
      <c r="I104" s="64">
        <v>130.19999999999999</v>
      </c>
      <c r="J104" s="64">
        <v>129.6</v>
      </c>
      <c r="K104" s="64">
        <v>127</v>
      </c>
      <c r="L104" s="64">
        <v>129.4</v>
      </c>
      <c r="M104" s="64">
        <v>129.4</v>
      </c>
      <c r="N104" s="64">
        <v>130.1</v>
      </c>
      <c r="O104" s="64">
        <v>129.69999999999999</v>
      </c>
      <c r="P104" s="64">
        <v>129.69999999999999</v>
      </c>
      <c r="Q104" s="64">
        <v>126.7</v>
      </c>
      <c r="R104" s="64">
        <v>129.19999999999999</v>
      </c>
      <c r="S104" s="64">
        <v>129.4</v>
      </c>
      <c r="T104" s="64">
        <v>130.1</v>
      </c>
      <c r="U104" s="64">
        <v>128.5</v>
      </c>
      <c r="V104" s="64">
        <v>131.1</v>
      </c>
      <c r="W104" s="64">
        <v>131.1</v>
      </c>
      <c r="X104" s="64">
        <v>130.4</v>
      </c>
      <c r="Y104" s="64">
        <v>128.19999999999999</v>
      </c>
      <c r="Z104" s="64">
        <v>127.1</v>
      </c>
      <c r="AA104" s="64">
        <v>126.2</v>
      </c>
      <c r="AB104" s="64">
        <v>127.9</v>
      </c>
      <c r="AC104" s="64">
        <v>128.6</v>
      </c>
      <c r="AD104" s="64">
        <v>128.5</v>
      </c>
      <c r="AE104" s="64">
        <v>128.6</v>
      </c>
      <c r="AF104" s="64">
        <v>128.6</v>
      </c>
      <c r="AG104" s="103"/>
      <c r="AH104" s="47">
        <f t="shared" si="9"/>
        <v>132.80000000000001</v>
      </c>
      <c r="AI104" s="48">
        <f t="shared" si="10"/>
        <v>126.2</v>
      </c>
    </row>
    <row r="105" spans="1:37" x14ac:dyDescent="0.25">
      <c r="A105" s="104" t="s">
        <v>113</v>
      </c>
      <c r="B105" s="64">
        <v>129.9</v>
      </c>
      <c r="C105" s="64">
        <v>133.4</v>
      </c>
      <c r="D105" s="64">
        <v>133.4</v>
      </c>
      <c r="E105" s="64">
        <v>135.1</v>
      </c>
      <c r="F105" s="64">
        <v>132.4</v>
      </c>
      <c r="G105" s="64">
        <v>134</v>
      </c>
      <c r="H105" s="64">
        <v>132.1</v>
      </c>
      <c r="I105" s="64">
        <v>132.1</v>
      </c>
      <c r="J105" s="64">
        <v>131.69999999999999</v>
      </c>
      <c r="K105" s="64">
        <v>127.7</v>
      </c>
      <c r="L105" s="64">
        <v>132</v>
      </c>
      <c r="M105" s="64">
        <v>132.80000000000001</v>
      </c>
      <c r="N105" s="64">
        <v>131.69999999999999</v>
      </c>
      <c r="O105" s="64">
        <v>132.4</v>
      </c>
      <c r="P105" s="64">
        <v>132.4</v>
      </c>
      <c r="Q105" s="64">
        <v>129.69999999999999</v>
      </c>
      <c r="R105" s="64">
        <v>131.4</v>
      </c>
      <c r="S105" s="64">
        <v>131.19999999999999</v>
      </c>
      <c r="T105" s="64">
        <v>132.19999999999999</v>
      </c>
      <c r="U105" s="64">
        <v>130.69999999999999</v>
      </c>
      <c r="V105" s="64">
        <v>132.6</v>
      </c>
      <c r="W105" s="64">
        <v>132.6</v>
      </c>
      <c r="X105" s="64">
        <v>133.1</v>
      </c>
      <c r="Y105" s="64">
        <v>131.6</v>
      </c>
      <c r="Z105" s="64">
        <v>130</v>
      </c>
      <c r="AA105" s="64">
        <v>128.80000000000001</v>
      </c>
      <c r="AB105" s="64">
        <v>129.5</v>
      </c>
      <c r="AC105" s="64">
        <v>129.69999999999999</v>
      </c>
      <c r="AD105" s="64">
        <v>129.6</v>
      </c>
      <c r="AE105" s="64">
        <v>130.19999999999999</v>
      </c>
      <c r="AF105" s="64">
        <v>130.19999999999999</v>
      </c>
      <c r="AG105" s="103"/>
      <c r="AH105" s="47">
        <f t="shared" si="9"/>
        <v>135.1</v>
      </c>
      <c r="AI105" s="48">
        <f t="shared" si="10"/>
        <v>127.7</v>
      </c>
    </row>
    <row r="106" spans="1:37" x14ac:dyDescent="0.25">
      <c r="A106" s="104" t="s">
        <v>114</v>
      </c>
      <c r="B106" s="105">
        <v>129.4</v>
      </c>
      <c r="C106" s="105">
        <v>132</v>
      </c>
      <c r="D106" s="105">
        <v>132</v>
      </c>
      <c r="E106" s="105">
        <v>132.6</v>
      </c>
      <c r="F106" s="105">
        <v>132.69999999999999</v>
      </c>
      <c r="G106" s="105">
        <v>131.19999999999999</v>
      </c>
      <c r="H106" s="105">
        <v>134</v>
      </c>
      <c r="I106" s="105">
        <v>134</v>
      </c>
      <c r="J106" s="105">
        <v>134</v>
      </c>
      <c r="K106" s="105">
        <v>130.9</v>
      </c>
      <c r="L106" s="105">
        <v>132.6</v>
      </c>
      <c r="M106" s="105">
        <v>130.6</v>
      </c>
      <c r="N106" s="105">
        <v>129.4</v>
      </c>
      <c r="O106" s="105">
        <v>134.4</v>
      </c>
      <c r="P106" s="105">
        <v>134.4</v>
      </c>
      <c r="Q106" s="105">
        <v>134.5</v>
      </c>
      <c r="R106" s="105">
        <v>132.30000000000001</v>
      </c>
      <c r="S106" s="105">
        <v>133.5</v>
      </c>
      <c r="T106" s="105">
        <v>127.3</v>
      </c>
      <c r="U106" s="105">
        <v>132.69999999999999</v>
      </c>
      <c r="V106" s="105">
        <v>133.19999999999999</v>
      </c>
      <c r="W106" s="105">
        <v>133.19999999999999</v>
      </c>
      <c r="X106" s="105">
        <v>134.30000000000001</v>
      </c>
      <c r="Y106" s="105">
        <v>134.30000000000001</v>
      </c>
      <c r="Z106" s="105">
        <v>133</v>
      </c>
      <c r="AA106" s="105">
        <v>132.30000000000001</v>
      </c>
      <c r="AB106" s="105">
        <v>132.30000000000001</v>
      </c>
      <c r="AC106" s="105">
        <v>131.5</v>
      </c>
      <c r="AD106" s="105">
        <v>131.19999999999999</v>
      </c>
      <c r="AE106" s="105">
        <v>131.80000000000001</v>
      </c>
      <c r="AF106" s="105">
        <v>131.80000000000001</v>
      </c>
      <c r="AG106" s="106"/>
      <c r="AH106" s="47">
        <f t="shared" si="9"/>
        <v>134.5</v>
      </c>
      <c r="AI106" s="48">
        <f t="shared" si="10"/>
        <v>127.3</v>
      </c>
    </row>
    <row r="107" spans="1:37" x14ac:dyDescent="0.25">
      <c r="A107" s="102" t="s">
        <v>115</v>
      </c>
      <c r="B107" s="64">
        <v>130.69999999999999</v>
      </c>
      <c r="C107" s="64">
        <v>130.19999999999999</v>
      </c>
      <c r="D107" s="64">
        <v>130.19999999999999</v>
      </c>
      <c r="E107" s="64">
        <v>128.19999999999999</v>
      </c>
      <c r="F107" s="64">
        <v>130.1</v>
      </c>
      <c r="G107" s="64">
        <v>134.1</v>
      </c>
      <c r="H107" s="64">
        <v>134</v>
      </c>
      <c r="I107" s="64">
        <v>134</v>
      </c>
      <c r="J107" s="64">
        <v>132.4</v>
      </c>
      <c r="K107" s="64">
        <v>131.4</v>
      </c>
      <c r="L107" s="64">
        <v>135</v>
      </c>
      <c r="M107" s="64">
        <v>133.5</v>
      </c>
      <c r="N107" s="64">
        <v>133</v>
      </c>
      <c r="O107" s="64">
        <v>135</v>
      </c>
      <c r="P107" s="64">
        <v>135</v>
      </c>
      <c r="Q107" s="64">
        <v>132</v>
      </c>
      <c r="R107" s="64">
        <v>132.6</v>
      </c>
      <c r="S107" s="64">
        <v>128.30000000000001</v>
      </c>
      <c r="T107" s="64">
        <v>130.30000000000001</v>
      </c>
      <c r="U107" s="64">
        <v>133.1</v>
      </c>
      <c r="V107" s="64">
        <v>131.9</v>
      </c>
      <c r="W107" s="64">
        <v>131.9</v>
      </c>
      <c r="X107" s="64">
        <v>132.80000000000001</v>
      </c>
      <c r="Y107" s="64">
        <v>132.4</v>
      </c>
      <c r="Z107" s="64">
        <v>127.7</v>
      </c>
      <c r="AA107" s="64">
        <v>129.4</v>
      </c>
      <c r="AB107" s="64">
        <v>129.6</v>
      </c>
      <c r="AC107" s="64">
        <v>131.69999999999999</v>
      </c>
      <c r="AD107" s="64">
        <v>130.69999999999999</v>
      </c>
      <c r="AE107" s="64">
        <v>127.4</v>
      </c>
      <c r="AF107" s="64">
        <v>127.4</v>
      </c>
      <c r="AG107" s="103"/>
      <c r="AH107" s="47">
        <f t="shared" si="9"/>
        <v>135</v>
      </c>
      <c r="AI107" s="48">
        <f t="shared" si="10"/>
        <v>127.4</v>
      </c>
    </row>
    <row r="108" spans="1:37" ht="15.75" thickBot="1" x14ac:dyDescent="0.3">
      <c r="A108" s="102" t="s">
        <v>116</v>
      </c>
      <c r="B108" s="91">
        <v>64.7</v>
      </c>
      <c r="C108" s="91">
        <v>65.8</v>
      </c>
      <c r="D108" s="91">
        <v>65.8</v>
      </c>
      <c r="E108" s="91">
        <v>66.2</v>
      </c>
      <c r="F108" s="91">
        <v>66.2</v>
      </c>
      <c r="G108" s="91">
        <v>65.900000000000006</v>
      </c>
      <c r="H108" s="91">
        <v>65.2</v>
      </c>
      <c r="I108" s="91">
        <v>65.2</v>
      </c>
      <c r="J108" s="91">
        <v>64.3</v>
      </c>
      <c r="K108" s="91">
        <v>62.9</v>
      </c>
      <c r="L108" s="91">
        <v>63.9</v>
      </c>
      <c r="M108" s="91">
        <v>63.7</v>
      </c>
      <c r="N108" s="91">
        <v>63.1</v>
      </c>
      <c r="O108" s="91">
        <v>64.5</v>
      </c>
      <c r="P108" s="91">
        <v>64.5</v>
      </c>
      <c r="Q108" s="91">
        <v>64.099999999999994</v>
      </c>
      <c r="R108" s="91">
        <v>64.3</v>
      </c>
      <c r="S108" s="91">
        <v>64.7</v>
      </c>
      <c r="T108" s="91">
        <v>64.099999999999994</v>
      </c>
      <c r="U108" s="91">
        <v>64.5</v>
      </c>
      <c r="V108" s="91">
        <v>64.599999999999994</v>
      </c>
      <c r="W108" s="91">
        <v>64.599999999999994</v>
      </c>
      <c r="X108" s="91">
        <v>64.5</v>
      </c>
      <c r="Y108" s="91">
        <v>63.2</v>
      </c>
      <c r="Z108" s="91">
        <v>61.8</v>
      </c>
      <c r="AA108" s="91">
        <v>62.7</v>
      </c>
      <c r="AB108" s="91">
        <v>63.5</v>
      </c>
      <c r="AC108" s="91">
        <v>63.8</v>
      </c>
      <c r="AD108" s="91">
        <v>63.6</v>
      </c>
      <c r="AE108" s="91">
        <v>64.7</v>
      </c>
      <c r="AF108" s="91">
        <v>64.7</v>
      </c>
      <c r="AG108" s="107"/>
      <c r="AH108" s="47">
        <f t="shared" si="9"/>
        <v>66.2</v>
      </c>
      <c r="AI108" s="48">
        <f t="shared" si="10"/>
        <v>61.8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86.9</v>
      </c>
      <c r="C110" s="110">
        <f t="shared" ref="C110:O110" si="16">SUM(C20,C26,C29:C30,C58,C60:C61,C63,C65,C111:C115,C138,C144,C150,C159,C161,C173,C180,C183:C184,C191,C193,C195,C199:C201,C203:C205,C210,C216:C217,C219:C221,C229,C234)</f>
        <v>84.440000000000012</v>
      </c>
      <c r="D110" s="110">
        <f t="shared" si="16"/>
        <v>65.94</v>
      </c>
      <c r="E110" s="110">
        <f t="shared" si="16"/>
        <v>63.439999999999991</v>
      </c>
      <c r="F110" s="110">
        <f t="shared" si="16"/>
        <v>58.139999999999972</v>
      </c>
      <c r="G110" s="110">
        <f t="shared" si="16"/>
        <v>71.740000000000009</v>
      </c>
      <c r="H110" s="110">
        <f t="shared" si="16"/>
        <v>68.240000000000009</v>
      </c>
      <c r="I110" s="110">
        <f t="shared" si="16"/>
        <v>107.13999999999999</v>
      </c>
      <c r="J110" s="110">
        <f t="shared" si="16"/>
        <v>154.53999999999996</v>
      </c>
      <c r="K110" s="110">
        <f t="shared" si="16"/>
        <v>126.83999999999995</v>
      </c>
      <c r="L110" s="110">
        <f t="shared" si="16"/>
        <v>181.04</v>
      </c>
      <c r="M110" s="110">
        <f t="shared" si="16"/>
        <v>186.33999999999997</v>
      </c>
      <c r="N110" s="110">
        <f t="shared" si="16"/>
        <v>188.24</v>
      </c>
      <c r="O110" s="110">
        <f t="shared" si="16"/>
        <v>206.63999999999996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161.70000000000002</v>
      </c>
      <c r="R110" s="110">
        <f t="shared" si="17"/>
        <v>167.39999999999998</v>
      </c>
      <c r="S110" s="110">
        <f t="shared" si="17"/>
        <v>134.19999999999999</v>
      </c>
      <c r="T110" s="110">
        <f t="shared" si="17"/>
        <v>136.6</v>
      </c>
      <c r="U110" s="110">
        <f t="shared" si="17"/>
        <v>124.19999999999999</v>
      </c>
      <c r="V110" s="110">
        <f t="shared" si="17"/>
        <v>141.30000000000001</v>
      </c>
      <c r="W110" s="110">
        <f t="shared" si="17"/>
        <v>140.40000000000003</v>
      </c>
      <c r="X110" s="110">
        <f t="shared" si="17"/>
        <v>155</v>
      </c>
      <c r="Y110" s="110">
        <f t="shared" si="17"/>
        <v>182.6</v>
      </c>
      <c r="Z110" s="110">
        <f t="shared" si="17"/>
        <v>238.8</v>
      </c>
      <c r="AA110" s="110">
        <f t="shared" si="17"/>
        <v>260.60000000000002</v>
      </c>
      <c r="AB110" s="110">
        <f t="shared" si="17"/>
        <v>241.69999999999996</v>
      </c>
      <c r="AC110" s="110">
        <f t="shared" si="17"/>
        <v>206.2</v>
      </c>
      <c r="AD110" s="110"/>
      <c r="AE110" s="110">
        <f t="shared" si="17"/>
        <v>125.30000000000003</v>
      </c>
      <c r="AF110" s="110">
        <f t="shared" si="17"/>
        <v>125.30000000000003</v>
      </c>
      <c r="AG110" s="111"/>
      <c r="AH110" s="47">
        <f t="shared" si="9"/>
        <v>260.60000000000002</v>
      </c>
      <c r="AI110" s="48">
        <f t="shared" si="10"/>
        <v>42</v>
      </c>
    </row>
    <row r="111" spans="1:37" x14ac:dyDescent="0.25">
      <c r="A111" s="99" t="s">
        <v>119</v>
      </c>
      <c r="B111" s="112">
        <v>25.8</v>
      </c>
      <c r="C111" s="112">
        <v>22.1</v>
      </c>
      <c r="D111" s="112">
        <v>17.5</v>
      </c>
      <c r="E111" s="112">
        <v>13.4</v>
      </c>
      <c r="F111" s="112">
        <v>15</v>
      </c>
      <c r="G111" s="112">
        <v>15.8</v>
      </c>
      <c r="H111" s="112">
        <v>15.8</v>
      </c>
      <c r="I111" s="112">
        <v>47.9</v>
      </c>
      <c r="J111" s="112">
        <v>59.8</v>
      </c>
      <c r="K111" s="112">
        <v>78.7</v>
      </c>
      <c r="L111" s="112">
        <v>69.099999999999994</v>
      </c>
      <c r="M111" s="112">
        <v>43.8</v>
      </c>
      <c r="N111" s="112">
        <v>47.2</v>
      </c>
      <c r="O111" s="112">
        <v>23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45.6</v>
      </c>
      <c r="AA111" s="176">
        <v>49.2</v>
      </c>
      <c r="AB111" s="112">
        <v>49.1</v>
      </c>
      <c r="AC111" s="112">
        <v>39.1</v>
      </c>
      <c r="AD111" s="112">
        <v>42</v>
      </c>
      <c r="AE111" s="112">
        <v>29</v>
      </c>
      <c r="AF111" s="112">
        <v>29</v>
      </c>
      <c r="AG111" s="113">
        <v>75</v>
      </c>
      <c r="AH111" s="47">
        <f t="shared" si="9"/>
        <v>78.7</v>
      </c>
      <c r="AI111" s="48">
        <f t="shared" si="10"/>
        <v>0</v>
      </c>
    </row>
    <row r="112" spans="1:37" x14ac:dyDescent="0.25">
      <c r="A112" s="102" t="s">
        <v>120</v>
      </c>
      <c r="B112" s="114">
        <v>40.6</v>
      </c>
      <c r="C112" s="114">
        <v>34.799999999999997</v>
      </c>
      <c r="D112" s="114">
        <v>28</v>
      </c>
      <c r="E112" s="114">
        <v>23.7</v>
      </c>
      <c r="F112" s="114">
        <v>26.1</v>
      </c>
      <c r="G112" s="114">
        <v>26.8</v>
      </c>
      <c r="H112" s="114">
        <v>26.8</v>
      </c>
      <c r="I112" s="114">
        <v>71.599999999999994</v>
      </c>
      <c r="J112" s="114">
        <v>88.4</v>
      </c>
      <c r="K112" s="114">
        <v>109.5</v>
      </c>
      <c r="L112" s="114">
        <v>94.3</v>
      </c>
      <c r="M112" s="114">
        <v>59.9</v>
      </c>
      <c r="N112" s="114">
        <v>63.8</v>
      </c>
      <c r="O112" s="114">
        <v>52.6</v>
      </c>
      <c r="P112" s="114">
        <v>52.6</v>
      </c>
      <c r="Q112" s="114">
        <v>66.599999999999994</v>
      </c>
      <c r="R112" s="114">
        <v>63.2</v>
      </c>
      <c r="S112" s="114">
        <v>71.2</v>
      </c>
      <c r="T112" s="114">
        <v>67.900000000000006</v>
      </c>
      <c r="U112" s="114">
        <v>58.4</v>
      </c>
      <c r="V112" s="114">
        <v>59.7</v>
      </c>
      <c r="W112" s="114">
        <v>59.7</v>
      </c>
      <c r="X112" s="114">
        <v>56.7</v>
      </c>
      <c r="Y112" s="114">
        <v>58.4</v>
      </c>
      <c r="Z112" s="114">
        <v>58.7</v>
      </c>
      <c r="AA112" s="177">
        <v>66.400000000000006</v>
      </c>
      <c r="AB112" s="114">
        <v>68.400000000000006</v>
      </c>
      <c r="AC112" s="114">
        <v>51.3</v>
      </c>
      <c r="AD112" s="114">
        <v>59.3</v>
      </c>
      <c r="AE112" s="114">
        <v>42.3</v>
      </c>
      <c r="AF112" s="114">
        <v>42.3</v>
      </c>
      <c r="AG112" s="113">
        <v>240</v>
      </c>
      <c r="AH112" s="47">
        <f t="shared" si="9"/>
        <v>109.5</v>
      </c>
      <c r="AI112" s="48">
        <f t="shared" si="10"/>
        <v>23.7</v>
      </c>
    </row>
    <row r="113" spans="1:37" x14ac:dyDescent="0.25">
      <c r="A113" s="102" t="s">
        <v>121</v>
      </c>
      <c r="B113" s="114">
        <f>-61.7-66.7</f>
        <v>-128.4</v>
      </c>
      <c r="C113" s="114">
        <v>-124</v>
      </c>
      <c r="D113" s="114">
        <f>-60-62.9</f>
        <v>-122.9</v>
      </c>
      <c r="E113" s="114">
        <f>-57-60</f>
        <v>-117</v>
      </c>
      <c r="F113" s="114">
        <f>-59-63</f>
        <v>-122</v>
      </c>
      <c r="G113" s="114">
        <f>-55-58</f>
        <v>-113</v>
      </c>
      <c r="H113" s="114">
        <v>-114</v>
      </c>
      <c r="I113" s="114">
        <f>-76-78</f>
        <v>-154</v>
      </c>
      <c r="J113" s="114">
        <f>-81-54</f>
        <v>-135</v>
      </c>
      <c r="K113" s="114">
        <f>-87.6-91.2</f>
        <v>-178.8</v>
      </c>
      <c r="L113" s="114">
        <f>-73-78</f>
        <v>-151</v>
      </c>
      <c r="M113" s="114">
        <v>-87</v>
      </c>
      <c r="N113" s="114">
        <v>-95</v>
      </c>
      <c r="O113" s="114">
        <v>-75</v>
      </c>
      <c r="P113" s="114">
        <v>-75</v>
      </c>
      <c r="Q113" s="114">
        <v>-68</v>
      </c>
      <c r="R113" s="114">
        <v>-64</v>
      </c>
      <c r="S113" s="114">
        <v>-100.5</v>
      </c>
      <c r="T113" s="114">
        <v>-99</v>
      </c>
      <c r="U113" s="114">
        <v>-89</v>
      </c>
      <c r="V113" s="114">
        <v>-102</v>
      </c>
      <c r="W113" s="114">
        <v>-102</v>
      </c>
      <c r="X113" s="114">
        <v>-103</v>
      </c>
      <c r="Y113" s="114">
        <v>-105</v>
      </c>
      <c r="Z113" s="114">
        <v>-53</v>
      </c>
      <c r="AA113" s="178">
        <v>-58.3</v>
      </c>
      <c r="AB113" s="114">
        <f>-47.4-50.4</f>
        <v>-97.8</v>
      </c>
      <c r="AC113" s="114">
        <v>-90</v>
      </c>
      <c r="AD113" s="114">
        <v>-112</v>
      </c>
      <c r="AE113" s="114">
        <v>-125</v>
      </c>
      <c r="AF113" s="114">
        <v>-125</v>
      </c>
      <c r="AG113" s="113">
        <v>240</v>
      </c>
      <c r="AH113" s="47">
        <f t="shared" si="9"/>
        <v>-53</v>
      </c>
      <c r="AI113" s="48">
        <f t="shared" si="10"/>
        <v>-178.8</v>
      </c>
    </row>
    <row r="114" spans="1:37" x14ac:dyDescent="0.25">
      <c r="A114" s="102" t="s">
        <v>122</v>
      </c>
      <c r="B114" s="114">
        <v>-6.3</v>
      </c>
      <c r="C114" s="114">
        <v>-4.8</v>
      </c>
      <c r="D114" s="114">
        <v>-3.6</v>
      </c>
      <c r="E114" s="114">
        <v>-3.6</v>
      </c>
      <c r="F114" s="114">
        <v>-3.7</v>
      </c>
      <c r="G114" s="114">
        <v>0</v>
      </c>
      <c r="H114" s="114">
        <v>-2</v>
      </c>
      <c r="I114" s="114">
        <v>0</v>
      </c>
      <c r="J114" s="114">
        <v>-2.2999999999999998</v>
      </c>
      <c r="K114" s="114">
        <v>-4.9000000000000004</v>
      </c>
      <c r="L114" s="114">
        <v>5.9</v>
      </c>
      <c r="M114" s="114">
        <v>7</v>
      </c>
      <c r="N114" s="114">
        <v>8.6</v>
      </c>
      <c r="O114" s="114">
        <v>33.200000000000003</v>
      </c>
      <c r="P114" s="114">
        <v>33.200000000000003</v>
      </c>
      <c r="Q114" s="114">
        <v>43.2</v>
      </c>
      <c r="R114" s="114">
        <v>46.2</v>
      </c>
      <c r="S114" s="114">
        <v>40.6</v>
      </c>
      <c r="T114" s="114">
        <v>46</v>
      </c>
      <c r="U114" s="114">
        <v>39.700000000000003</v>
      </c>
      <c r="V114" s="114">
        <v>47.4</v>
      </c>
      <c r="W114" s="114">
        <v>47.4</v>
      </c>
      <c r="X114" s="114">
        <v>52</v>
      </c>
      <c r="Y114" s="114">
        <v>68.3</v>
      </c>
      <c r="Z114" s="114">
        <v>16.600000000000001</v>
      </c>
      <c r="AA114" s="178">
        <v>16.2</v>
      </c>
      <c r="AB114" s="114">
        <v>10.8</v>
      </c>
      <c r="AC114" s="114">
        <v>12</v>
      </c>
      <c r="AD114" s="114">
        <v>7.1</v>
      </c>
      <c r="AE114" s="114">
        <v>2</v>
      </c>
      <c r="AF114" s="114">
        <v>2</v>
      </c>
      <c r="AG114" s="113">
        <v>60</v>
      </c>
      <c r="AH114" s="47">
        <f t="shared" si="9"/>
        <v>68.3</v>
      </c>
      <c r="AI114" s="48">
        <f t="shared" si="10"/>
        <v>-6.3</v>
      </c>
    </row>
    <row r="115" spans="1:37" x14ac:dyDescent="0.25">
      <c r="A115" s="115" t="s">
        <v>123</v>
      </c>
      <c r="B115" s="116">
        <v>21.8</v>
      </c>
      <c r="C115" s="116">
        <v>22</v>
      </c>
      <c r="D115" s="116">
        <v>22</v>
      </c>
      <c r="E115" s="116">
        <v>22</v>
      </c>
      <c r="F115" s="116">
        <v>22</v>
      </c>
      <c r="G115" s="116">
        <v>21.6</v>
      </c>
      <c r="H115" s="116">
        <v>21.1</v>
      </c>
      <c r="I115" s="116">
        <v>21.1</v>
      </c>
      <c r="J115" s="116">
        <v>21</v>
      </c>
      <c r="K115" s="116"/>
      <c r="L115" s="116">
        <v>21</v>
      </c>
      <c r="M115" s="116">
        <v>20.9</v>
      </c>
      <c r="N115" s="116">
        <v>21.9</v>
      </c>
      <c r="O115" s="116">
        <v>31.1</v>
      </c>
      <c r="P115" s="116">
        <v>31.1</v>
      </c>
      <c r="Q115" s="116">
        <v>24.9</v>
      </c>
      <c r="R115" s="116">
        <v>27</v>
      </c>
      <c r="S115" s="116">
        <v>28.6</v>
      </c>
      <c r="T115" s="116">
        <v>30.7</v>
      </c>
      <c r="U115" s="116">
        <v>33.9</v>
      </c>
      <c r="V115" s="116">
        <v>37.9</v>
      </c>
      <c r="W115" s="116">
        <v>37.9</v>
      </c>
      <c r="X115" s="116">
        <v>54.2</v>
      </c>
      <c r="Y115" s="116">
        <v>65.8</v>
      </c>
      <c r="Z115" s="116">
        <v>55.1</v>
      </c>
      <c r="AA115" s="178">
        <v>62.7</v>
      </c>
      <c r="AB115" s="116">
        <v>62.4</v>
      </c>
      <c r="AC115" s="116">
        <v>45</v>
      </c>
      <c r="AD115" s="116">
        <v>45</v>
      </c>
      <c r="AE115" s="116">
        <v>47.2</v>
      </c>
      <c r="AF115" s="116">
        <v>47.2</v>
      </c>
      <c r="AG115" s="117">
        <v>120</v>
      </c>
      <c r="AH115" s="47">
        <f t="shared" si="9"/>
        <v>65.8</v>
      </c>
      <c r="AI115" s="48">
        <f t="shared" si="10"/>
        <v>20.9</v>
      </c>
    </row>
    <row r="116" spans="1:37" x14ac:dyDescent="0.25">
      <c r="A116" s="115" t="s">
        <v>124</v>
      </c>
      <c r="B116" s="116">
        <v>31.4</v>
      </c>
      <c r="C116" s="116">
        <v>34.799999999999997</v>
      </c>
      <c r="D116" s="116">
        <v>47.5</v>
      </c>
      <c r="E116" s="116">
        <v>49.5</v>
      </c>
      <c r="F116" s="116">
        <v>43.2</v>
      </c>
      <c r="G116" s="116">
        <v>48</v>
      </c>
      <c r="H116" s="116">
        <v>48</v>
      </c>
      <c r="I116" s="116">
        <v>32</v>
      </c>
      <c r="J116" s="116">
        <v>22.5</v>
      </c>
      <c r="K116" s="116"/>
      <c r="L116" s="116">
        <v>17</v>
      </c>
      <c r="M116" s="116">
        <v>18.399999999999999</v>
      </c>
      <c r="N116" s="116">
        <v>40.700000000000003</v>
      </c>
      <c r="O116" s="116">
        <v>26.5</v>
      </c>
      <c r="P116" s="116">
        <v>26.5</v>
      </c>
      <c r="Q116" s="116">
        <v>26.4</v>
      </c>
      <c r="R116" s="116">
        <v>24.4</v>
      </c>
      <c r="S116" s="116">
        <v>29.8</v>
      </c>
      <c r="T116" s="116">
        <v>23</v>
      </c>
      <c r="U116" s="116">
        <v>29</v>
      </c>
      <c r="V116" s="116">
        <v>4.2</v>
      </c>
      <c r="W116" s="116">
        <v>4.2</v>
      </c>
      <c r="X116" s="116">
        <v>11.8</v>
      </c>
      <c r="Y116" s="116">
        <v>14.7</v>
      </c>
      <c r="Z116" s="116">
        <v>47.1</v>
      </c>
      <c r="AA116" s="179">
        <v>47.2</v>
      </c>
      <c r="AB116" s="116">
        <v>19.399999999999999</v>
      </c>
      <c r="AC116" s="116">
        <v>45</v>
      </c>
      <c r="AD116" s="116">
        <v>25</v>
      </c>
      <c r="AE116" s="116">
        <v>24</v>
      </c>
      <c r="AF116" s="116">
        <v>24</v>
      </c>
      <c r="AG116" s="117"/>
      <c r="AH116" s="47">
        <f t="shared" si="9"/>
        <v>49.5</v>
      </c>
      <c r="AI116" s="48">
        <f t="shared" si="10"/>
        <v>4.2</v>
      </c>
    </row>
    <row r="117" spans="1:37" x14ac:dyDescent="0.25">
      <c r="A117" s="115" t="s">
        <v>125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>
        <v>-28.8</v>
      </c>
      <c r="N117" s="116">
        <v>-44.6</v>
      </c>
      <c r="O117" s="116"/>
      <c r="P117" s="116"/>
      <c r="Q117" s="116">
        <v>-16</v>
      </c>
      <c r="R117" s="116">
        <v>-29.2</v>
      </c>
      <c r="S117" s="116"/>
      <c r="T117" s="116">
        <v>-30.3</v>
      </c>
      <c r="U117" s="116">
        <v>-29.8</v>
      </c>
      <c r="V117" s="116">
        <v>-35.9</v>
      </c>
      <c r="W117" s="116">
        <v>-35.9</v>
      </c>
      <c r="X117" s="116">
        <v>-34.700000000000003</v>
      </c>
      <c r="Y117" s="116">
        <v>-43.3</v>
      </c>
      <c r="Z117" s="116">
        <v>-29.1</v>
      </c>
      <c r="AA117" s="179">
        <v>-19.5</v>
      </c>
      <c r="AB117" s="116">
        <v>-29.3</v>
      </c>
      <c r="AC117" s="116">
        <v>-23</v>
      </c>
      <c r="AD117" s="116">
        <v>-28</v>
      </c>
      <c r="AE117" s="116">
        <v>-18.3</v>
      </c>
      <c r="AF117" s="116">
        <v>-18.3</v>
      </c>
      <c r="AG117" s="118"/>
      <c r="AH117" s="47">
        <f t="shared" si="9"/>
        <v>-16</v>
      </c>
      <c r="AI117" s="48">
        <f t="shared" si="10"/>
        <v>-44.6</v>
      </c>
    </row>
    <row r="118" spans="1:37" x14ac:dyDescent="0.25">
      <c r="A118" s="119" t="s">
        <v>126</v>
      </c>
      <c r="B118" s="105">
        <v>24.8</v>
      </c>
      <c r="C118" s="105">
        <v>26</v>
      </c>
      <c r="D118" s="105">
        <v>28.2</v>
      </c>
      <c r="E118" s="105">
        <v>29.9</v>
      </c>
      <c r="F118" s="105">
        <v>29.9</v>
      </c>
      <c r="G118" s="105">
        <v>33.299999999999997</v>
      </c>
      <c r="H118" s="105">
        <v>35</v>
      </c>
      <c r="I118" s="105">
        <v>41</v>
      </c>
      <c r="J118" s="105">
        <v>39.799999999999997</v>
      </c>
      <c r="K118" s="105"/>
      <c r="L118" s="105">
        <v>40</v>
      </c>
      <c r="M118" s="105">
        <v>43.2</v>
      </c>
      <c r="N118" s="105">
        <v>33.200000000000003</v>
      </c>
      <c r="O118" s="105">
        <v>41.9</v>
      </c>
      <c r="P118" s="105">
        <v>41.9</v>
      </c>
      <c r="Q118" s="105">
        <v>38.9</v>
      </c>
      <c r="R118" s="105">
        <v>38.4</v>
      </c>
      <c r="S118" s="105">
        <v>34.5</v>
      </c>
      <c r="T118" s="105">
        <v>38.1</v>
      </c>
      <c r="U118" s="105">
        <v>34.1</v>
      </c>
      <c r="V118" s="105">
        <v>33.6</v>
      </c>
      <c r="W118" s="105">
        <v>33.6</v>
      </c>
      <c r="X118" s="105">
        <v>38</v>
      </c>
      <c r="Y118" s="105">
        <v>37.200000000000003</v>
      </c>
      <c r="Z118" s="105">
        <v>26</v>
      </c>
      <c r="AA118" s="180">
        <v>19.2</v>
      </c>
      <c r="AB118" s="105">
        <v>22.5</v>
      </c>
      <c r="AC118" s="105">
        <v>13</v>
      </c>
      <c r="AD118" s="105">
        <v>15</v>
      </c>
      <c r="AE118" s="105">
        <v>15.1</v>
      </c>
      <c r="AF118" s="105">
        <v>15.1</v>
      </c>
      <c r="AG118" s="118"/>
      <c r="AH118" s="47">
        <f t="shared" si="9"/>
        <v>43.2</v>
      </c>
      <c r="AI118" s="48">
        <f t="shared" si="10"/>
        <v>13</v>
      </c>
    </row>
    <row r="119" spans="1:37" x14ac:dyDescent="0.25">
      <c r="A119" s="120" t="s">
        <v>127</v>
      </c>
      <c r="B119" s="105">
        <v>92.1</v>
      </c>
      <c r="C119" s="105">
        <v>86.9</v>
      </c>
      <c r="D119" s="105">
        <v>83.9</v>
      </c>
      <c r="E119" s="105">
        <v>75.5</v>
      </c>
      <c r="F119" s="105">
        <v>86.5</v>
      </c>
      <c r="G119" s="105">
        <v>85.5</v>
      </c>
      <c r="H119" s="105">
        <v>84</v>
      </c>
      <c r="I119" s="105">
        <v>79</v>
      </c>
      <c r="J119" s="105">
        <v>79.2</v>
      </c>
      <c r="K119" s="105"/>
      <c r="L119" s="105">
        <v>74.900000000000006</v>
      </c>
      <c r="M119" s="105">
        <v>74.7</v>
      </c>
      <c r="N119" s="105">
        <v>87</v>
      </c>
      <c r="O119" s="105">
        <v>86.5</v>
      </c>
      <c r="P119" s="105">
        <v>86.5</v>
      </c>
      <c r="Q119" s="105">
        <v>89</v>
      </c>
      <c r="R119" s="105">
        <v>85.3</v>
      </c>
      <c r="S119" s="105">
        <v>82.8</v>
      </c>
      <c r="T119" s="105">
        <v>86.9</v>
      </c>
      <c r="U119" s="105">
        <v>76.2</v>
      </c>
      <c r="V119" s="105">
        <v>79</v>
      </c>
      <c r="W119" s="105">
        <v>79</v>
      </c>
      <c r="X119" s="105">
        <v>70.5</v>
      </c>
      <c r="Y119" s="105">
        <v>79.400000000000006</v>
      </c>
      <c r="Z119" s="105">
        <v>42.6</v>
      </c>
      <c r="AA119" s="180">
        <v>49</v>
      </c>
      <c r="AB119" s="105">
        <v>80.900000000000006</v>
      </c>
      <c r="AC119" s="105">
        <v>68</v>
      </c>
      <c r="AD119" s="105">
        <v>89</v>
      </c>
      <c r="AE119" s="105">
        <v>87</v>
      </c>
      <c r="AF119" s="105">
        <v>87</v>
      </c>
      <c r="AG119" s="118"/>
      <c r="AH119" s="47">
        <f t="shared" si="9"/>
        <v>92.1</v>
      </c>
      <c r="AI119" s="48">
        <f t="shared" si="10"/>
        <v>42.6</v>
      </c>
    </row>
    <row r="120" spans="1:37" ht="15.75" thickBot="1" x14ac:dyDescent="0.3">
      <c r="A120" s="119" t="s">
        <v>128</v>
      </c>
      <c r="B120" s="105">
        <v>43.4</v>
      </c>
      <c r="C120" s="105">
        <v>40.1</v>
      </c>
      <c r="D120" s="105">
        <v>35.200000000000003</v>
      </c>
      <c r="E120" s="105">
        <v>24.7</v>
      </c>
      <c r="F120" s="105">
        <v>30.9</v>
      </c>
      <c r="G120" s="105">
        <v>22.9</v>
      </c>
      <c r="H120" s="105">
        <v>24</v>
      </c>
      <c r="I120" s="105">
        <v>33</v>
      </c>
      <c r="J120" s="105">
        <v>7.5</v>
      </c>
      <c r="K120" s="105"/>
      <c r="L120" s="105">
        <v>12.7</v>
      </c>
      <c r="M120" s="105">
        <v>12.4</v>
      </c>
      <c r="N120" s="105">
        <v>11.5</v>
      </c>
      <c r="O120" s="105">
        <v>8.8000000000000007</v>
      </c>
      <c r="P120" s="105">
        <v>8.8000000000000007</v>
      </c>
      <c r="Q120" s="105">
        <v>3.1</v>
      </c>
      <c r="R120" s="105">
        <v>9.6</v>
      </c>
      <c r="S120" s="105">
        <v>10.8</v>
      </c>
      <c r="T120" s="105">
        <v>6.6</v>
      </c>
      <c r="U120" s="105">
        <v>3.8</v>
      </c>
      <c r="V120" s="105">
        <v>-3</v>
      </c>
      <c r="W120" s="105">
        <v>-3</v>
      </c>
      <c r="X120" s="105">
        <v>-10.4</v>
      </c>
      <c r="Y120" s="105">
        <v>10.7</v>
      </c>
      <c r="Z120" s="105">
        <v>27.6</v>
      </c>
      <c r="AA120" s="180">
        <v>34.5</v>
      </c>
      <c r="AB120" s="105">
        <v>40.9</v>
      </c>
      <c r="AC120" s="105">
        <v>45</v>
      </c>
      <c r="AD120" s="105">
        <v>46</v>
      </c>
      <c r="AE120" s="105">
        <v>47</v>
      </c>
      <c r="AF120" s="105">
        <v>47</v>
      </c>
      <c r="AG120" s="118"/>
      <c r="AH120" s="47">
        <f t="shared" si="9"/>
        <v>47</v>
      </c>
      <c r="AI120" s="48">
        <f t="shared" si="10"/>
        <v>-10.4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1978.54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1985.34</v>
      </c>
      <c r="U249" s="170">
        <f t="shared" si="22"/>
        <v>1940.14</v>
      </c>
      <c r="V249" s="170">
        <f t="shared" si="22"/>
        <v>1949.64</v>
      </c>
      <c r="W249" s="170">
        <f t="shared" si="22"/>
        <v>1940.8400000000001</v>
      </c>
      <c r="X249" s="170">
        <f t="shared" si="22"/>
        <v>1938.24</v>
      </c>
      <c r="Y249" s="170">
        <f t="shared" si="22"/>
        <v>1936.94</v>
      </c>
      <c r="Z249" s="170">
        <f t="shared" si="22"/>
        <v>1935.6399999999999</v>
      </c>
      <c r="AA249" s="170">
        <f t="shared" si="22"/>
        <v>1936.44</v>
      </c>
      <c r="AB249" s="170">
        <f t="shared" si="22"/>
        <v>1941.6399999999999</v>
      </c>
      <c r="AC249" s="170">
        <f t="shared" si="22"/>
        <v>1951.64</v>
      </c>
      <c r="AD249" s="170">
        <f t="shared" si="22"/>
        <v>1958.74</v>
      </c>
      <c r="AE249" s="170">
        <f t="shared" si="22"/>
        <v>1978.54</v>
      </c>
      <c r="AF249" s="170">
        <f t="shared" si="22"/>
        <v>1978.54</v>
      </c>
      <c r="AG249" s="170">
        <f t="shared" si="22"/>
        <v>1978.54</v>
      </c>
      <c r="AH249" s="170">
        <f t="shared" si="22"/>
        <v>1870.24</v>
      </c>
      <c r="AI249" s="170">
        <f t="shared" si="22"/>
        <v>1880.24</v>
      </c>
      <c r="AJ249" s="170">
        <f t="shared" si="22"/>
        <v>1880.24</v>
      </c>
      <c r="AK249" s="170">
        <f t="shared" si="22"/>
        <v>1843.44</v>
      </c>
      <c r="AL249" s="170">
        <f t="shared" si="22"/>
        <v>1944.4399999999998</v>
      </c>
      <c r="AM249" s="170">
        <f t="shared" si="22"/>
        <v>1924.84</v>
      </c>
      <c r="AN249" s="170">
        <f t="shared" si="22"/>
        <v>1941.24</v>
      </c>
      <c r="AO249" s="170">
        <f t="shared" si="22"/>
        <v>1940.3400000000001</v>
      </c>
      <c r="AP249" s="170">
        <f t="shared" si="22"/>
        <v>1945.14</v>
      </c>
      <c r="AQ249" s="170">
        <f t="shared" si="22"/>
        <v>1969.8400000000001</v>
      </c>
      <c r="AR249" s="170">
        <f t="shared" si="22"/>
        <v>2010.3399999999997</v>
      </c>
      <c r="AS249" s="170">
        <f t="shared" si="22"/>
        <v>2031.7400000000002</v>
      </c>
      <c r="AT249" s="170">
        <f t="shared" si="22"/>
        <v>2073.4399999999996</v>
      </c>
      <c r="AU249" s="170">
        <f t="shared" si="22"/>
        <v>2057.4399999999996</v>
      </c>
      <c r="AV249" s="170">
        <f t="shared" si="22"/>
        <v>1982.6399999999999</v>
      </c>
      <c r="AW249" s="170">
        <f t="shared" si="22"/>
        <v>2007.14</v>
      </c>
      <c r="AX249" s="170">
        <f t="shared" si="22"/>
        <v>1863.94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3762" priority="119">
      <formula>$AH11=0</formula>
    </cfRule>
  </conditionalFormatting>
  <conditionalFormatting sqref="B8 M8 S8 AB8">
    <cfRule type="expression" dxfId="3761" priority="172">
      <formula>C$9&lt;8/24</formula>
    </cfRule>
    <cfRule type="expression" dxfId="3760" priority="171">
      <formula>AND(C$9&gt;=8/24,C$9&lt;14/24)</formula>
    </cfRule>
    <cfRule type="expression" dxfId="3759" priority="170">
      <formula>AND(C$9&gt;=14/24,C$9&lt;20/24)</formula>
    </cfRule>
  </conditionalFormatting>
  <conditionalFormatting sqref="B55:D60 E56:E60 F60:R60">
    <cfRule type="expression" dxfId="3758" priority="11">
      <formula>AND(B$9&gt;=14/24,B$9&lt;20/24)</formula>
    </cfRule>
    <cfRule type="expression" dxfId="3757" priority="13">
      <formula>B$9&lt;8/24</formula>
    </cfRule>
    <cfRule type="expression" dxfId="3756" priority="10">
      <formula>B$9&gt;=20/24</formula>
    </cfRule>
    <cfRule type="expression" dxfId="3755" priority="12">
      <formula>AND(B$9&gt;=8/24,B$9&lt;14/24)</formula>
    </cfRule>
  </conditionalFormatting>
  <conditionalFormatting sqref="B55:D66 S55:AF66 E56:E66 F60:R66">
    <cfRule type="expression" dxfId="3754" priority="9">
      <formula>B55&gt;$AG55</formula>
    </cfRule>
  </conditionalFormatting>
  <conditionalFormatting sqref="B9:AF45">
    <cfRule type="expression" dxfId="3753" priority="23">
      <formula>B$9&gt;=20/24</formula>
    </cfRule>
    <cfRule type="expression" dxfId="3752" priority="24">
      <formula>AND(B$9&gt;=14/24,B$9&lt;20/24)</formula>
    </cfRule>
    <cfRule type="expression" dxfId="3751" priority="26">
      <formula>B$9&lt;8/24</formula>
    </cfRule>
    <cfRule type="expression" dxfId="3750" priority="25">
      <formula>AND(B$9&gt;=8/24,B$9&lt;14/24)</formula>
    </cfRule>
  </conditionalFormatting>
  <conditionalFormatting sqref="B11:AF46">
    <cfRule type="expression" dxfId="3749" priority="22">
      <formula>B11&gt;$AG11</formula>
    </cfRule>
  </conditionalFormatting>
  <conditionalFormatting sqref="B46:AF46">
    <cfRule type="expression" dxfId="3748" priority="19">
      <formula>AND(B$9&gt;=14/24,B$9&lt;20/24)</formula>
    </cfRule>
    <cfRule type="expression" dxfId="3747" priority="18">
      <formula>B$9&gt;=20/24</formula>
    </cfRule>
    <cfRule type="expression" dxfId="3746" priority="20">
      <formula>AND(B$9&gt;=8/24,B$9&lt;14/24)</formula>
    </cfRule>
    <cfRule type="expression" dxfId="3745" priority="21">
      <formula>B$9&lt;8/24</formula>
    </cfRule>
  </conditionalFormatting>
  <conditionalFormatting sqref="B47:AF47">
    <cfRule type="expression" dxfId="3744" priority="32">
      <formula>B47&gt;$AG47</formula>
    </cfRule>
  </conditionalFormatting>
  <conditionalFormatting sqref="B47:AF49">
    <cfRule type="expression" dxfId="3743" priority="31">
      <formula>B$9&lt;8/24</formula>
    </cfRule>
    <cfRule type="expression" dxfId="3742" priority="30">
      <formula>AND(B$9&gt;=8/24,B$9&lt;14/24)</formula>
    </cfRule>
    <cfRule type="expression" dxfId="3741" priority="29">
      <formula>AND(B$9&gt;=14/24,B$9&lt;20/24)</formula>
    </cfRule>
    <cfRule type="expression" dxfId="3740" priority="28">
      <formula>B$9&gt;=20/24</formula>
    </cfRule>
  </conditionalFormatting>
  <conditionalFormatting sqref="B48:AF53">
    <cfRule type="expression" dxfId="3739" priority="27">
      <formula>B48&gt;$AG48</formula>
    </cfRule>
  </conditionalFormatting>
  <conditionalFormatting sqref="B51:AF53">
    <cfRule type="expression" dxfId="3738" priority="42">
      <formula>B$9&gt;=20/24</formula>
    </cfRule>
    <cfRule type="expression" dxfId="3737" priority="43">
      <formula>AND(B$9&gt;=14/24,B$9&lt;20/24)</formula>
    </cfRule>
    <cfRule type="expression" dxfId="3736" priority="44">
      <formula>AND(B$9&gt;=8/24,B$9&lt;14/24)</formula>
    </cfRule>
    <cfRule type="expression" dxfId="3735" priority="45">
      <formula>B$9&lt;8/24</formula>
    </cfRule>
  </conditionalFormatting>
  <conditionalFormatting sqref="B61:AF66">
    <cfRule type="expression" dxfId="3734" priority="33">
      <formula>B$9&gt;=20/24</formula>
    </cfRule>
    <cfRule type="expression" dxfId="3733" priority="34">
      <formula>AND(B$9&gt;=14/24,B$9&lt;20/24)</formula>
    </cfRule>
    <cfRule type="expression" dxfId="3732" priority="35">
      <formula>AND(B$9&gt;=8/24,B$9&lt;14/24)</formula>
    </cfRule>
    <cfRule type="expression" dxfId="3731" priority="36">
      <formula>B$9&lt;8/24</formula>
    </cfRule>
  </conditionalFormatting>
  <conditionalFormatting sqref="B69:AF71">
    <cfRule type="expression" dxfId="3730" priority="48">
      <formula>AND(B$9&gt;=14/24,B$9&lt;20/24)</formula>
    </cfRule>
    <cfRule type="expression" dxfId="3729" priority="50">
      <formula>B$9&lt;8/24</formula>
    </cfRule>
    <cfRule type="expression" dxfId="3728" priority="49">
      <formula>AND(B$9&gt;=8/24,B$9&lt;14/24)</formula>
    </cfRule>
    <cfRule type="expression" dxfId="3727" priority="47">
      <formula>B$9&gt;=20/24</formula>
    </cfRule>
    <cfRule type="expression" dxfId="3726" priority="46">
      <formula>B69&gt;$AG69</formula>
    </cfRule>
  </conditionalFormatting>
  <conditionalFormatting sqref="B73:AF91">
    <cfRule type="expression" dxfId="3725" priority="5">
      <formula>B$9&gt;=20/24</formula>
    </cfRule>
    <cfRule type="expression" dxfId="3724" priority="6">
      <formula>AND(B$9&gt;=14/24,B$9&lt;20/24)</formula>
    </cfRule>
    <cfRule type="expression" dxfId="3723" priority="8">
      <formula>B$9&lt;8/24</formula>
    </cfRule>
    <cfRule type="expression" dxfId="3722" priority="7">
      <formula>AND(B$9&gt;=8/24,B$9&lt;14/24)</formula>
    </cfRule>
  </conditionalFormatting>
  <conditionalFormatting sqref="B111:AF120">
    <cfRule type="expression" dxfId="3721" priority="3">
      <formula>AND(B$9&gt;=8/24,B$9&lt;14/24)</formula>
    </cfRule>
    <cfRule type="expression" dxfId="3720" priority="4">
      <formula>B$9&lt;8/24</formula>
    </cfRule>
    <cfRule type="expression" dxfId="3719" priority="1">
      <formula>B$9&gt;=20/24</formula>
    </cfRule>
    <cfRule type="expression" dxfId="3718" priority="2">
      <formula>AND(B$9&gt;=14/24,B$9&lt;20/24)</formula>
    </cfRule>
  </conditionalFormatting>
  <conditionalFormatting sqref="B227:AF227 D229:AF230 B229:B235 D231:H231 J231:AF231 D232:AF235 U248:AF248">
    <cfRule type="expression" dxfId="3717" priority="163">
      <formula>B$9&gt;=20/24</formula>
    </cfRule>
    <cfRule type="expression" dxfId="3716" priority="164">
      <formula>AND(B$9&gt;=14/24,B$9&lt;20/24)</formula>
    </cfRule>
    <cfRule type="expression" dxfId="3715" priority="165">
      <formula>AND(B$9&gt;=8/24,B$9&lt;14/24)</formula>
    </cfRule>
    <cfRule type="expression" dxfId="3714" priority="166">
      <formula>B$9&lt;8/24</formula>
    </cfRule>
  </conditionalFormatting>
  <conditionalFormatting sqref="B54:AG54">
    <cfRule type="expression" dxfId="3713" priority="55">
      <formula>B$9&lt;8/24</formula>
    </cfRule>
    <cfRule type="expression" dxfId="3712" priority="51">
      <formula>B54&gt;$AG54</formula>
    </cfRule>
    <cfRule type="expression" dxfId="3711" priority="52">
      <formula>B$9&gt;=20/24</formula>
    </cfRule>
    <cfRule type="expression" dxfId="3710" priority="53">
      <formula>AND(B$9&gt;=14/24,B$9&lt;20/24)</formula>
    </cfRule>
    <cfRule type="expression" dxfId="3709" priority="54">
      <formula>AND(B$9&gt;=8/24,B$9&lt;14/24)</formula>
    </cfRule>
  </conditionalFormatting>
  <conditionalFormatting sqref="B67:AG68 B72:AG72">
    <cfRule type="expression" dxfId="3708" priority="37">
      <formula>B67&gt;$AG67</formula>
    </cfRule>
  </conditionalFormatting>
  <conditionalFormatting sqref="B72:AG72 B93:AF109">
    <cfRule type="expression" dxfId="3707" priority="41">
      <formula>B$9&lt;8/24</formula>
    </cfRule>
    <cfRule type="expression" dxfId="3706" priority="40">
      <formula>AND(B$9&gt;=8/24,B$9&lt;14/24)</formula>
    </cfRule>
    <cfRule type="expression" dxfId="3705" priority="39">
      <formula>AND(B$9&gt;=14/24,B$9&lt;20/24)</formula>
    </cfRule>
    <cfRule type="expression" dxfId="3704" priority="38">
      <formula>B$9&gt;=20/24</formula>
    </cfRule>
  </conditionalFormatting>
  <conditionalFormatting sqref="E55:I55 J55:R57 F56:I57">
    <cfRule type="expression" dxfId="3703" priority="144">
      <formula>E$9&gt;=20/24</formula>
    </cfRule>
    <cfRule type="expression" dxfId="3702" priority="145">
      <formula>AND(E$9&gt;=14/24,E$9&lt;20/24)</formula>
    </cfRule>
    <cfRule type="expression" dxfId="3701" priority="146">
      <formula>AND(E$9&gt;=8/24,E$9&lt;14/24)</formula>
    </cfRule>
    <cfRule type="expression" dxfId="3700" priority="147">
      <formula>E$9&lt;8/24</formula>
    </cfRule>
  </conditionalFormatting>
  <conditionalFormatting sqref="E55:I55 J55:R59 F56:I59">
    <cfRule type="expression" dxfId="3699" priority="60">
      <formula>E55&gt;$AG55</formula>
    </cfRule>
  </conditionalFormatting>
  <conditionalFormatting sqref="O3:P3">
    <cfRule type="iconSet" priority="167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698" priority="169">
      <formula>C$9&gt;=20/24</formula>
    </cfRule>
  </conditionalFormatting>
  <conditionalFormatting sqref="S8">
    <cfRule type="expression" dxfId="3697" priority="156">
      <formula>U$9&gt;=20/24</formula>
    </cfRule>
    <cfRule type="expression" dxfId="3696" priority="157">
      <formula>AND(U$9&gt;=14/24,U$9&lt;20/24)</formula>
    </cfRule>
    <cfRule type="expression" dxfId="3695" priority="158">
      <formula>AND(U$9&gt;=8/24,U$9&lt;14/24)</formula>
    </cfRule>
    <cfRule type="expression" dxfId="3694" priority="159">
      <formula>U$9&lt;8/24</formula>
    </cfRule>
  </conditionalFormatting>
  <conditionalFormatting sqref="S55:AA60 AB55:AF66">
    <cfRule type="expression" dxfId="3693" priority="64">
      <formula>S$9&lt;8/24</formula>
    </cfRule>
    <cfRule type="expression" dxfId="3692" priority="62">
      <formula>AND(S$9&gt;=14/24,S$9&lt;20/24)</formula>
    </cfRule>
    <cfRule type="expression" dxfId="3691" priority="63">
      <formula>AND(S$9&gt;=8/24,S$9&lt;14/24)</formula>
    </cfRule>
  </conditionalFormatting>
  <conditionalFormatting sqref="T248">
    <cfRule type="expression" dxfId="3690" priority="184">
      <formula>AX$9&lt;8/24</formula>
    </cfRule>
    <cfRule type="expression" dxfId="3689" priority="181">
      <formula>AX$9&gt;=20/24</formula>
    </cfRule>
    <cfRule type="expression" dxfId="3688" priority="182">
      <formula>AND(AX$9&gt;=14/24,AX$9&lt;20/24)</formula>
    </cfRule>
    <cfRule type="expression" dxfId="3687" priority="183">
      <formula>AND(AX$9&gt;=8/24,AX$9&lt;14/24)</formula>
    </cfRule>
  </conditionalFormatting>
  <conditionalFormatting sqref="V3 AB3">
    <cfRule type="iconSet" priority="168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686" priority="152">
      <formula>AD$9&gt;=20/24</formula>
    </cfRule>
    <cfRule type="expression" dxfId="3685" priority="154">
      <formula>AND(AD$9&gt;=8/24,AD$9&lt;14/24)</formula>
    </cfRule>
    <cfRule type="expression" dxfId="3684" priority="155">
      <formula>AD$9&lt;8/24</formula>
    </cfRule>
    <cfRule type="expression" dxfId="3683" priority="153">
      <formula>AND(AD$9&gt;=14/24,AD$9&lt;20/24)</formula>
    </cfRule>
  </conditionalFormatting>
  <conditionalFormatting sqref="AB55:AF66 S55:AA60">
    <cfRule type="expression" dxfId="3682" priority="61">
      <formula>S$9&gt;=20/24</formula>
    </cfRule>
  </conditionalFormatting>
  <conditionalFormatting sqref="AG50">
    <cfRule type="expression" dxfId="3681" priority="139">
      <formula>AG50&gt;$AG50</formula>
    </cfRule>
  </conditionalFormatting>
  <conditionalFormatting sqref="AG89">
    <cfRule type="expression" dxfId="3680" priority="140">
      <formula>AG$9&gt;=20/24</formula>
    </cfRule>
    <cfRule type="expression" dxfId="3679" priority="142">
      <formula>AND(AG$9&gt;=8/24,AG$9&lt;14/24)</formula>
    </cfRule>
    <cfRule type="expression" dxfId="3678" priority="143">
      <formula>AG$9&lt;8/24</formula>
    </cfRule>
    <cfRule type="expression" dxfId="3677" priority="141">
      <formula>AND(AG$9&gt;=14/24,AG$9&lt;20/24)</formula>
    </cfRule>
  </conditionalFormatting>
  <conditionalFormatting sqref="AG248">
    <cfRule type="expression" dxfId="3676" priority="175">
      <formula>AND(B$9&gt;=8/24,B$9&lt;14/24)</formula>
    </cfRule>
    <cfRule type="expression" dxfId="3675" priority="173">
      <formula>B$9&gt;=20/24</formula>
    </cfRule>
    <cfRule type="expression" dxfId="3674" priority="174">
      <formula>AND(B$9&gt;=14/24,B$9&lt;20/24)</formula>
    </cfRule>
    <cfRule type="expression" dxfId="3673" priority="176">
      <formula>B$9&lt;8/24</formula>
    </cfRule>
  </conditionalFormatting>
  <conditionalFormatting sqref="AH248:AX248">
    <cfRule type="expression" dxfId="3672" priority="177">
      <formula>AG$9&gt;=20/24</formula>
    </cfRule>
    <cfRule type="expression" dxfId="3671" priority="178">
      <formula>AND(AG$9&gt;=14/24,AG$9&lt;20/24)</formula>
    </cfRule>
    <cfRule type="expression" dxfId="3670" priority="179">
      <formula>AND(AG$9&gt;=8/24,AG$9&lt;14/24)</formula>
    </cfRule>
    <cfRule type="expression" dxfId="3669" priority="180">
      <formula>AG$9&lt;8/24</formula>
    </cfRule>
  </conditionalFormatting>
  <conditionalFormatting sqref="AL4:AL6">
    <cfRule type="iconSet" priority="162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22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7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21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6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61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60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20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5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668" priority="186">
      <formula>AJ$9&gt;=20/24</formula>
    </cfRule>
    <cfRule type="expression" dxfId="3667" priority="187">
      <formula>AND(AJ$9&gt;=14/24,AJ$9&lt;20/24)</formula>
    </cfRule>
    <cfRule type="expression" dxfId="3666" priority="188">
      <formula>AND(AJ$9&gt;=8/24,AJ$9&lt;14/24)</formula>
    </cfRule>
    <cfRule type="expression" dxfId="3665" priority="189">
      <formula>AJ$9&lt;8/24</formula>
    </cfRule>
  </conditionalFormatting>
  <conditionalFormatting sqref="AL80:AN80 AL86:AN86">
    <cfRule type="expression" dxfId="3664" priority="127">
      <formula>AL$9&gt;=20/24</formula>
    </cfRule>
    <cfRule type="expression" dxfId="3663" priority="128">
      <formula>AND(AL$9&gt;=14/24,AL$9&lt;20/24)</formula>
    </cfRule>
    <cfRule type="expression" dxfId="3662" priority="129">
      <formula>AND(AL$9&gt;=8/24,AL$9&lt;14/24)</formula>
    </cfRule>
    <cfRule type="expression" dxfId="3661" priority="130">
      <formula>AL$9&lt;8/24</formula>
    </cfRule>
  </conditionalFormatting>
  <conditionalFormatting sqref="AN81:AN84">
    <cfRule type="expression" dxfId="3660" priority="124">
      <formula>AND(AN$9&gt;=14/24,AN$9&lt;20/24)</formula>
    </cfRule>
    <cfRule type="expression" dxfId="3659" priority="125">
      <formula>AND(AN$9&gt;=8/24,AN$9&lt;14/24)</formula>
    </cfRule>
    <cfRule type="expression" dxfId="3658" priority="126">
      <formula>AN$9&lt;8/24</formula>
    </cfRule>
    <cfRule type="expression" dxfId="3657" priority="123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CC81-232D-4724-83EB-81320930E396}">
  <sheetPr codeName="Sheet4"/>
  <dimension ref="A1:CJ281"/>
  <sheetViews>
    <sheetView workbookViewId="0">
      <pane xSplit="1" ySplit="10" topLeftCell="B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D76" sqref="D76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6" width="6.42578125" style="1" bestFit="1" customWidth="1"/>
    <col min="7" max="7" width="6.42578125" style="1" customWidth="1"/>
    <col min="8" max="8" width="0.140625" style="1" customWidth="1"/>
    <col min="9" max="9" width="6.28515625" style="1" customWidth="1"/>
    <col min="10" max="10" width="6.28515625" style="1" hidden="1" customWidth="1"/>
    <col min="11" max="11" width="7.7109375" style="1" customWidth="1"/>
    <col min="12" max="12" width="6.42578125" style="1" hidden="1" customWidth="1"/>
    <col min="13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2" width="6.85546875" style="1" customWidth="1"/>
    <col min="23" max="23" width="0.140625" style="1" customWidth="1"/>
    <col min="24" max="24" width="6.85546875" style="1" customWidth="1"/>
    <col min="25" max="25" width="0.140625" style="1" customWidth="1"/>
    <col min="26" max="26" width="6.7109375" style="1" customWidth="1"/>
    <col min="27" max="27" width="7.140625" style="1" hidden="1" customWidth="1"/>
    <col min="28" max="28" width="6.85546875" style="1" customWidth="1"/>
    <col min="29" max="29" width="6.85546875" style="1" hidden="1" customWidth="1"/>
    <col min="30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2080/05/3</v>
      </c>
      <c r="C4" s="196"/>
      <c r="D4" s="196"/>
      <c r="E4" s="197" t="str">
        <f ca="1">"2080/"&amp;"05/"&amp;INT(MID(CELL("filename",G6),FIND("]",CELL("filename",G6))+1,200))</f>
        <v>2080/05/3</v>
      </c>
      <c r="F4" s="197"/>
      <c r="G4" s="197"/>
      <c r="H4" s="197" t="str">
        <f ca="1">TEXT(E4,"dddd")</f>
        <v>Friday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8</v>
      </c>
      <c r="C5" s="30">
        <f t="shared" si="0"/>
        <v>8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16.5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7.1</v>
      </c>
      <c r="AA5" s="30">
        <f t="shared" si="0"/>
        <v>1</v>
      </c>
      <c r="AB5" s="30">
        <f t="shared" si="0"/>
        <v>2.1</v>
      </c>
      <c r="AC5" s="30">
        <f t="shared" si="0"/>
        <v>2.1</v>
      </c>
      <c r="AD5" s="30">
        <f t="shared" si="0"/>
        <v>11.2</v>
      </c>
      <c r="AE5" s="30">
        <f t="shared" si="0"/>
        <v>2</v>
      </c>
      <c r="AF5" s="30">
        <f>B84</f>
        <v>8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2000MW at 7:00hr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Load=1882</v>
      </c>
      <c r="B7" s="35">
        <f t="shared" ref="B7:AF7" si="1">B91</f>
        <v>1882.1399999999999</v>
      </c>
      <c r="C7" s="35">
        <f t="shared" si="1"/>
        <v>1972.14</v>
      </c>
      <c r="D7" s="35">
        <f t="shared" si="1"/>
        <v>1948.5400000000002</v>
      </c>
      <c r="E7" s="35">
        <f t="shared" si="1"/>
        <v>1931.0400000000002</v>
      </c>
      <c r="F7" s="35">
        <f t="shared" si="1"/>
        <v>1908.3400000000001</v>
      </c>
      <c r="G7" s="35">
        <f t="shared" si="1"/>
        <v>1907.3400000000001</v>
      </c>
      <c r="H7" s="35">
        <f t="shared" si="1"/>
        <v>1916.04</v>
      </c>
      <c r="I7" s="35">
        <f t="shared" si="1"/>
        <v>1939.6400000000003</v>
      </c>
      <c r="J7" s="35">
        <f t="shared" si="1"/>
        <v>1978.34</v>
      </c>
      <c r="K7" s="35">
        <f t="shared" si="1"/>
        <v>2000.1399999999999</v>
      </c>
      <c r="L7" s="35">
        <f t="shared" si="1"/>
        <v>1941.94</v>
      </c>
      <c r="M7" s="35">
        <f t="shared" si="1"/>
        <v>1938.1399999999999</v>
      </c>
      <c r="N7" s="35">
        <f>N91</f>
        <v>1980.6399999999999</v>
      </c>
      <c r="O7" s="35">
        <f t="shared" si="1"/>
        <v>1980.6399999999999</v>
      </c>
      <c r="P7" s="35">
        <f t="shared" si="1"/>
        <v>1974.1399999999999</v>
      </c>
      <c r="Q7" s="35">
        <f t="shared" si="1"/>
        <v>1957.1399999999999</v>
      </c>
      <c r="R7" s="35">
        <f t="shared" si="1"/>
        <v>1970.44</v>
      </c>
      <c r="S7" s="35">
        <f t="shared" si="1"/>
        <v>2013.6399999999999</v>
      </c>
      <c r="T7" s="35">
        <f t="shared" si="1"/>
        <v>1996.34</v>
      </c>
      <c r="U7" s="35">
        <f t="shared" si="1"/>
        <v>1993.9399999999998</v>
      </c>
      <c r="V7" s="35">
        <f t="shared" si="1"/>
        <v>1907.44</v>
      </c>
      <c r="W7" s="35">
        <f t="shared" si="1"/>
        <v>1940.14</v>
      </c>
      <c r="X7" s="35">
        <f t="shared" si="1"/>
        <v>1950.1399999999999</v>
      </c>
      <c r="Y7" s="35">
        <f t="shared" si="1"/>
        <v>1950.1399999999999</v>
      </c>
      <c r="Z7" s="35">
        <f t="shared" si="1"/>
        <v>1963.94</v>
      </c>
      <c r="AA7" s="35">
        <f t="shared" si="1"/>
        <v>2067.3399999999997</v>
      </c>
      <c r="AB7" s="35">
        <f t="shared" si="1"/>
        <v>2052.34</v>
      </c>
      <c r="AC7" s="35">
        <f t="shared" si="1"/>
        <v>2031.94</v>
      </c>
      <c r="AD7" s="35">
        <f t="shared" si="1"/>
        <v>2041.2400000000002</v>
      </c>
      <c r="AE7" s="35">
        <f t="shared" si="1"/>
        <v>2013.3400000000004</v>
      </c>
      <c r="AF7" s="35">
        <f t="shared" si="1"/>
        <v>1999.94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0</v>
      </c>
      <c r="C11" s="45">
        <v>90</v>
      </c>
      <c r="D11" s="45">
        <v>90</v>
      </c>
      <c r="E11" s="45">
        <v>90</v>
      </c>
      <c r="F11" s="45">
        <v>86.4</v>
      </c>
      <c r="G11" s="45">
        <v>86.4</v>
      </c>
      <c r="H11" s="45">
        <v>86.4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9</v>
      </c>
      <c r="F12" s="45">
        <v>9</v>
      </c>
      <c r="G12" s="45">
        <v>9</v>
      </c>
      <c r="H12" s="45">
        <v>9</v>
      </c>
      <c r="I12" s="45">
        <v>9</v>
      </c>
      <c r="J12" s="45">
        <v>9</v>
      </c>
      <c r="K12" s="45">
        <v>13</v>
      </c>
      <c r="L12" s="45">
        <v>9</v>
      </c>
      <c r="M12" s="45">
        <v>9</v>
      </c>
      <c r="N12" s="45">
        <v>9</v>
      </c>
      <c r="O12" s="45">
        <v>9</v>
      </c>
      <c r="P12" s="45">
        <v>9</v>
      </c>
      <c r="Q12" s="45">
        <v>9</v>
      </c>
      <c r="R12" s="45">
        <v>9</v>
      </c>
      <c r="S12" s="45">
        <v>13</v>
      </c>
      <c r="T12" s="45">
        <v>13</v>
      </c>
      <c r="U12" s="45">
        <v>13</v>
      </c>
      <c r="V12" s="45">
        <v>8</v>
      </c>
      <c r="W12" s="45">
        <v>8</v>
      </c>
      <c r="X12" s="45">
        <v>8</v>
      </c>
      <c r="Y12" s="45">
        <v>8</v>
      </c>
      <c r="Z12" s="45">
        <v>13</v>
      </c>
      <c r="AA12" s="45">
        <v>12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54.6</v>
      </c>
      <c r="C13" s="45">
        <v>54.6</v>
      </c>
      <c r="D13" s="45">
        <v>54.6</v>
      </c>
      <c r="E13" s="45">
        <v>54.6</v>
      </c>
      <c r="F13" s="45">
        <v>54.6</v>
      </c>
      <c r="G13" s="45">
        <v>54.6</v>
      </c>
      <c r="H13" s="45">
        <v>54.6</v>
      </c>
      <c r="I13" s="45">
        <v>54.6</v>
      </c>
      <c r="J13" s="45">
        <v>54.6</v>
      </c>
      <c r="K13" s="45">
        <v>54.6</v>
      </c>
      <c r="L13" s="45">
        <v>54.6</v>
      </c>
      <c r="M13" s="45">
        <v>54.6</v>
      </c>
      <c r="N13" s="45">
        <v>54.6</v>
      </c>
      <c r="O13" s="45">
        <v>54.6</v>
      </c>
      <c r="P13" s="45">
        <v>54.6</v>
      </c>
      <c r="Q13" s="45">
        <v>54.6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54.6</v>
      </c>
      <c r="X13" s="45">
        <v>54.6</v>
      </c>
      <c r="Y13" s="45">
        <v>54.6</v>
      </c>
      <c r="Z13" s="45">
        <v>54.6</v>
      </c>
      <c r="AA13" s="45">
        <v>54.6</v>
      </c>
      <c r="AB13" s="45">
        <v>54.7</v>
      </c>
      <c r="AC13" s="45">
        <v>54.7</v>
      </c>
      <c r="AD13" s="45">
        <v>54.7</v>
      </c>
      <c r="AE13" s="45">
        <v>54.7</v>
      </c>
      <c r="AF13" s="45">
        <v>54.7</v>
      </c>
      <c r="AG13" s="46">
        <v>52.4</v>
      </c>
      <c r="AH13" s="47">
        <f t="shared" si="2"/>
        <v>54.7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45">
        <v>50.4</v>
      </c>
      <c r="AB14" s="45">
        <v>50</v>
      </c>
      <c r="AC14" s="45">
        <v>50</v>
      </c>
      <c r="AD14" s="45">
        <v>50</v>
      </c>
      <c r="AE14" s="45">
        <v>50</v>
      </c>
      <c r="AF14" s="45">
        <v>50</v>
      </c>
      <c r="AG14" s="49">
        <v>50</v>
      </c>
      <c r="AH14" s="47">
        <f t="shared" si="2"/>
        <v>50.4</v>
      </c>
      <c r="AI14" s="48">
        <f t="shared" si="3"/>
        <v>50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46.2</v>
      </c>
      <c r="C15" s="45">
        <v>46.2</v>
      </c>
      <c r="D15" s="45">
        <v>46.2</v>
      </c>
      <c r="E15" s="45">
        <v>40.700000000000003</v>
      </c>
      <c r="F15" s="45">
        <v>40.700000000000003</v>
      </c>
      <c r="G15" s="45">
        <v>40.700000000000003</v>
      </c>
      <c r="H15" s="45">
        <v>40.700000000000003</v>
      </c>
      <c r="I15" s="45">
        <v>40.700000000000003</v>
      </c>
      <c r="J15" s="45">
        <v>45.9</v>
      </c>
      <c r="K15" s="45">
        <v>45.9</v>
      </c>
      <c r="L15" s="45">
        <v>45.9</v>
      </c>
      <c r="M15" s="45">
        <v>45.9</v>
      </c>
      <c r="N15" s="45">
        <v>45.9</v>
      </c>
      <c r="O15" s="45">
        <v>45.9</v>
      </c>
      <c r="P15" s="45">
        <v>45.9</v>
      </c>
      <c r="Q15" s="45">
        <v>45.9</v>
      </c>
      <c r="R15" s="45">
        <v>45.9</v>
      </c>
      <c r="S15" s="45">
        <v>45.9</v>
      </c>
      <c r="T15" s="45">
        <v>45.9</v>
      </c>
      <c r="U15" s="45">
        <v>45.9</v>
      </c>
      <c r="V15" s="45">
        <v>45.9</v>
      </c>
      <c r="W15" s="45">
        <v>45.9</v>
      </c>
      <c r="X15" s="45">
        <v>45.9</v>
      </c>
      <c r="Y15" s="45">
        <v>45.9</v>
      </c>
      <c r="Z15" s="45">
        <v>45.9</v>
      </c>
      <c r="AA15" s="45">
        <v>45.9</v>
      </c>
      <c r="AB15" s="45">
        <v>36.200000000000003</v>
      </c>
      <c r="AC15" s="45">
        <v>36.200000000000003</v>
      </c>
      <c r="AD15" s="45">
        <v>36.200000000000003</v>
      </c>
      <c r="AE15" s="45">
        <v>36.200000000000003</v>
      </c>
      <c r="AF15" s="45">
        <v>36.200000000000003</v>
      </c>
      <c r="AG15" s="49">
        <v>45</v>
      </c>
      <c r="AH15" s="47">
        <f t="shared" si="2"/>
        <v>46.2</v>
      </c>
      <c r="AI15" s="48">
        <f t="shared" si="3"/>
        <v>36.200000000000003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29.5</v>
      </c>
      <c r="Q17" s="45">
        <v>29.5</v>
      </c>
      <c r="R17" s="45">
        <v>29.5</v>
      </c>
      <c r="S17" s="45">
        <v>29.5</v>
      </c>
      <c r="T17" s="45">
        <v>29.5</v>
      </c>
      <c r="U17" s="45">
        <v>29.5</v>
      </c>
      <c r="V17" s="45">
        <v>29.5</v>
      </c>
      <c r="W17" s="45">
        <v>29.5</v>
      </c>
      <c r="X17" s="45">
        <v>29.5</v>
      </c>
      <c r="Y17" s="45">
        <v>29.5</v>
      </c>
      <c r="Z17" s="45">
        <v>29.5</v>
      </c>
      <c r="AA17" s="45">
        <v>29.5</v>
      </c>
      <c r="AB17" s="45">
        <v>29.5</v>
      </c>
      <c r="AC17" s="45">
        <v>29.5</v>
      </c>
      <c r="AD17" s="45">
        <v>29.5</v>
      </c>
      <c r="AE17" s="45">
        <v>29.5</v>
      </c>
      <c r="AF17" s="45">
        <v>29.5</v>
      </c>
      <c r="AG17" s="49">
        <v>42</v>
      </c>
      <c r="AH17" s="47">
        <f t="shared" si="2"/>
        <v>29.5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5</v>
      </c>
      <c r="I20" s="45">
        <v>5</v>
      </c>
      <c r="J20" s="45">
        <v>5</v>
      </c>
      <c r="K20" s="45">
        <v>10.199999999999999</v>
      </c>
      <c r="L20" s="45">
        <v>6</v>
      </c>
      <c r="M20" s="45">
        <v>6</v>
      </c>
      <c r="N20" s="45">
        <v>6</v>
      </c>
      <c r="O20" s="45">
        <v>6</v>
      </c>
      <c r="P20" s="45">
        <v>6</v>
      </c>
      <c r="Q20" s="45">
        <v>6</v>
      </c>
      <c r="R20" s="45">
        <v>6</v>
      </c>
      <c r="S20" s="45">
        <v>11.1</v>
      </c>
      <c r="T20" s="45">
        <v>25.6</v>
      </c>
      <c r="U20" s="45">
        <v>25.6</v>
      </c>
      <c r="V20" s="45">
        <v>5.5</v>
      </c>
      <c r="W20" s="45">
        <v>5.5</v>
      </c>
      <c r="X20" s="45">
        <v>5.5</v>
      </c>
      <c r="Y20" s="45">
        <v>5.5</v>
      </c>
      <c r="Z20" s="45">
        <v>5.5</v>
      </c>
      <c r="AA20" s="45">
        <v>25.6</v>
      </c>
      <c r="AB20" s="45">
        <v>25.6</v>
      </c>
      <c r="AC20" s="45">
        <v>30</v>
      </c>
      <c r="AD20" s="45">
        <v>30</v>
      </c>
      <c r="AE20" s="45">
        <v>14</v>
      </c>
      <c r="AF20" s="45">
        <v>14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33.1</v>
      </c>
      <c r="N21" s="45">
        <v>33.1</v>
      </c>
      <c r="O21" s="45">
        <v>33.1</v>
      </c>
      <c r="P21" s="45">
        <v>33.1</v>
      </c>
      <c r="Q21" s="45">
        <v>33.1</v>
      </c>
      <c r="R21" s="45">
        <v>33.1</v>
      </c>
      <c r="S21" s="45">
        <v>33.1</v>
      </c>
      <c r="T21" s="45">
        <v>33.1</v>
      </c>
      <c r="U21" s="45">
        <v>33.1</v>
      </c>
      <c r="V21" s="45">
        <v>33.1</v>
      </c>
      <c r="W21" s="45">
        <v>33.1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33.1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28.3</v>
      </c>
      <c r="C22" s="45">
        <v>28.3</v>
      </c>
      <c r="D22" s="45">
        <v>28.3</v>
      </c>
      <c r="E22" s="45">
        <v>28.3</v>
      </c>
      <c r="F22" s="45">
        <v>28.3</v>
      </c>
      <c r="G22" s="45">
        <v>28.3</v>
      </c>
      <c r="H22" s="45">
        <v>28.3</v>
      </c>
      <c r="I22" s="45">
        <v>28.3</v>
      </c>
      <c r="J22" s="45">
        <v>28.3</v>
      </c>
      <c r="K22" s="45">
        <v>28.3</v>
      </c>
      <c r="L22" s="45">
        <v>28.3</v>
      </c>
      <c r="M22" s="45">
        <v>28.3</v>
      </c>
      <c r="N22" s="45">
        <v>28.3</v>
      </c>
      <c r="O22" s="45">
        <v>28.3</v>
      </c>
      <c r="P22" s="45">
        <v>28.3</v>
      </c>
      <c r="Q22" s="45">
        <v>28.3</v>
      </c>
      <c r="R22" s="45">
        <v>28.3</v>
      </c>
      <c r="S22" s="45">
        <v>28.3</v>
      </c>
      <c r="T22" s="45">
        <v>28.3</v>
      </c>
      <c r="U22" s="45">
        <v>28.3</v>
      </c>
      <c r="V22" s="45">
        <v>28.3</v>
      </c>
      <c r="W22" s="45">
        <v>28.3</v>
      </c>
      <c r="X22" s="45">
        <v>28.3</v>
      </c>
      <c r="Y22" s="45">
        <v>28.3</v>
      </c>
      <c r="Z22" s="45">
        <v>28.3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28.3</v>
      </c>
      <c r="AI22" s="48">
        <f t="shared" si="3"/>
        <v>28.3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4.5</v>
      </c>
      <c r="D23" s="45">
        <v>4.5</v>
      </c>
      <c r="E23" s="45">
        <v>4.5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5</v>
      </c>
      <c r="R23" s="45">
        <v>5</v>
      </c>
      <c r="S23" s="45">
        <v>9</v>
      </c>
      <c r="T23" s="45">
        <v>9</v>
      </c>
      <c r="U23" s="45">
        <v>9</v>
      </c>
      <c r="V23" s="45">
        <v>5</v>
      </c>
      <c r="W23" s="45">
        <v>5</v>
      </c>
      <c r="X23" s="45">
        <v>5</v>
      </c>
      <c r="Y23" s="45">
        <v>5</v>
      </c>
      <c r="Z23" s="45">
        <v>5</v>
      </c>
      <c r="AA23" s="45">
        <v>20</v>
      </c>
      <c r="AB23" s="45">
        <v>20</v>
      </c>
      <c r="AC23" s="45">
        <v>16</v>
      </c>
      <c r="AD23" s="45">
        <v>16</v>
      </c>
      <c r="AE23" s="45">
        <v>9</v>
      </c>
      <c r="AF23" s="45">
        <v>9</v>
      </c>
      <c r="AG23" s="51">
        <v>30</v>
      </c>
      <c r="AH23" s="47">
        <f t="shared" si="2"/>
        <v>20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24.4</v>
      </c>
      <c r="C24" s="45">
        <v>24.4</v>
      </c>
      <c r="D24" s="45">
        <v>24.4</v>
      </c>
      <c r="E24" s="45">
        <v>24.4</v>
      </c>
      <c r="F24" s="45">
        <v>24.4</v>
      </c>
      <c r="G24" s="45">
        <v>24.4</v>
      </c>
      <c r="H24" s="45">
        <v>24.4</v>
      </c>
      <c r="I24" s="45">
        <v>24.4</v>
      </c>
      <c r="J24" s="45">
        <v>24.4</v>
      </c>
      <c r="K24" s="45">
        <v>24.4</v>
      </c>
      <c r="L24" s="45">
        <v>24.4</v>
      </c>
      <c r="M24" s="45">
        <v>24.4</v>
      </c>
      <c r="N24" s="45">
        <v>24.4</v>
      </c>
      <c r="O24" s="45">
        <v>24.4</v>
      </c>
      <c r="P24" s="45">
        <v>24.4</v>
      </c>
      <c r="Q24" s="45">
        <v>24.4</v>
      </c>
      <c r="R24" s="45">
        <v>24.4</v>
      </c>
      <c r="S24" s="45">
        <v>24.4</v>
      </c>
      <c r="T24" s="45">
        <v>24.4</v>
      </c>
      <c r="U24" s="45">
        <v>24.4</v>
      </c>
      <c r="V24" s="45">
        <v>24.4</v>
      </c>
      <c r="W24" s="45">
        <v>24.4</v>
      </c>
      <c r="X24" s="45">
        <v>24.4</v>
      </c>
      <c r="Y24" s="45">
        <v>24.4</v>
      </c>
      <c r="Z24" s="45">
        <v>24.4</v>
      </c>
      <c r="AA24" s="45">
        <v>24.4</v>
      </c>
      <c r="AB24" s="45">
        <v>24.4</v>
      </c>
      <c r="AC24" s="45">
        <v>24.4</v>
      </c>
      <c r="AD24" s="45">
        <v>24.4</v>
      </c>
      <c r="AE24" s="45">
        <v>24.4</v>
      </c>
      <c r="AF24" s="45">
        <v>24.4</v>
      </c>
      <c r="AG24" s="49">
        <v>25</v>
      </c>
      <c r="AH24" s="47">
        <f t="shared" si="2"/>
        <v>24.4</v>
      </c>
      <c r="AI24" s="48">
        <f t="shared" si="3"/>
        <v>24.4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22</v>
      </c>
      <c r="G26" s="45">
        <v>22</v>
      </c>
      <c r="H26" s="45">
        <v>22</v>
      </c>
      <c r="I26" s="45">
        <v>22</v>
      </c>
      <c r="J26" s="45">
        <v>22</v>
      </c>
      <c r="K26" s="45">
        <v>22</v>
      </c>
      <c r="L26" s="45">
        <v>22</v>
      </c>
      <c r="M26" s="45">
        <v>22</v>
      </c>
      <c r="N26" s="45">
        <v>22</v>
      </c>
      <c r="O26" s="45">
        <v>22</v>
      </c>
      <c r="P26" s="45">
        <v>22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9">
        <v>25</v>
      </c>
      <c r="AH26" s="47">
        <f t="shared" si="2"/>
        <v>22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4.5</v>
      </c>
      <c r="C27" s="45">
        <v>4.5</v>
      </c>
      <c r="D27" s="45">
        <v>4.5</v>
      </c>
      <c r="E27" s="45">
        <v>4.5</v>
      </c>
      <c r="F27" s="45">
        <v>4.5</v>
      </c>
      <c r="G27" s="45">
        <v>4.5</v>
      </c>
      <c r="H27" s="45">
        <v>4.5</v>
      </c>
      <c r="I27" s="45">
        <v>4.5</v>
      </c>
      <c r="J27" s="45">
        <v>4.5</v>
      </c>
      <c r="K27" s="45">
        <v>8.5</v>
      </c>
      <c r="L27" s="45">
        <v>4.5</v>
      </c>
      <c r="M27" s="45">
        <v>4.5</v>
      </c>
      <c r="N27" s="45">
        <v>4.5</v>
      </c>
      <c r="O27" s="45">
        <v>4.5</v>
      </c>
      <c r="P27" s="45">
        <v>4.5</v>
      </c>
      <c r="Q27" s="45">
        <v>4.5</v>
      </c>
      <c r="R27" s="45">
        <v>4.5</v>
      </c>
      <c r="S27" s="45">
        <v>4.5</v>
      </c>
      <c r="T27" s="45">
        <v>4.5</v>
      </c>
      <c r="U27" s="45">
        <v>4.5</v>
      </c>
      <c r="V27" s="45">
        <v>5</v>
      </c>
      <c r="W27" s="45">
        <v>5</v>
      </c>
      <c r="X27" s="45">
        <v>5</v>
      </c>
      <c r="Y27" s="45">
        <v>5</v>
      </c>
      <c r="Z27" s="45">
        <v>5</v>
      </c>
      <c r="AA27" s="45">
        <v>25</v>
      </c>
      <c r="AB27" s="45">
        <v>15</v>
      </c>
      <c r="AC27" s="45">
        <v>15</v>
      </c>
      <c r="AD27" s="45">
        <v>15</v>
      </c>
      <c r="AE27" s="45">
        <v>10</v>
      </c>
      <c r="AF27" s="45">
        <v>10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0</v>
      </c>
      <c r="P28" s="45">
        <v>0</v>
      </c>
      <c r="Q28" s="45">
        <v>0</v>
      </c>
      <c r="R28" s="45">
        <v>0</v>
      </c>
      <c r="S28" s="45">
        <v>0</v>
      </c>
      <c r="T28" s="45">
        <v>0</v>
      </c>
      <c r="U28" s="45">
        <v>0</v>
      </c>
      <c r="V28" s="45">
        <v>0</v>
      </c>
      <c r="W28" s="45">
        <v>0</v>
      </c>
      <c r="X28" s="45">
        <v>0</v>
      </c>
      <c r="Y28" s="45">
        <v>0</v>
      </c>
      <c r="Z28" s="45">
        <v>0</v>
      </c>
      <c r="AA28" s="45">
        <v>0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25.3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4</v>
      </c>
      <c r="F33" s="45">
        <v>4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10</v>
      </c>
      <c r="AB33" s="45">
        <v>10</v>
      </c>
      <c r="AC33" s="45">
        <v>10</v>
      </c>
      <c r="AD33" s="45">
        <v>10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3.5</v>
      </c>
      <c r="C34" s="45">
        <v>3.5</v>
      </c>
      <c r="D34" s="45">
        <v>3.5</v>
      </c>
      <c r="E34" s="45">
        <v>3.5</v>
      </c>
      <c r="F34" s="45">
        <v>3.5</v>
      </c>
      <c r="G34" s="45">
        <v>3.5</v>
      </c>
      <c r="H34" s="45">
        <v>3.5</v>
      </c>
      <c r="I34" s="45">
        <v>3.5</v>
      </c>
      <c r="J34" s="45">
        <v>3.5</v>
      </c>
      <c r="K34" s="45">
        <v>3.5</v>
      </c>
      <c r="L34" s="45">
        <v>3.5</v>
      </c>
      <c r="M34" s="45">
        <v>3.5</v>
      </c>
      <c r="N34" s="45">
        <v>3.5</v>
      </c>
      <c r="O34" s="45">
        <v>3.5</v>
      </c>
      <c r="P34" s="45">
        <v>3.5</v>
      </c>
      <c r="Q34" s="45">
        <v>3.5</v>
      </c>
      <c r="R34" s="45">
        <v>3.5</v>
      </c>
      <c r="S34" s="45">
        <v>3.5</v>
      </c>
      <c r="T34" s="45">
        <v>3.5</v>
      </c>
      <c r="U34" s="45">
        <v>3.5</v>
      </c>
      <c r="V34" s="45">
        <v>3.5</v>
      </c>
      <c r="W34" s="45">
        <v>3.5</v>
      </c>
      <c r="X34" s="45">
        <v>3.5</v>
      </c>
      <c r="Y34" s="45">
        <v>3.5</v>
      </c>
      <c r="Z34" s="45">
        <v>3.5</v>
      </c>
      <c r="AA34" s="45">
        <v>3.5</v>
      </c>
      <c r="AB34" s="45">
        <v>4</v>
      </c>
      <c r="AC34" s="45">
        <v>4</v>
      </c>
      <c r="AD34" s="45">
        <v>4</v>
      </c>
      <c r="AE34" s="45">
        <v>0</v>
      </c>
      <c r="AF34" s="45">
        <v>0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2</v>
      </c>
      <c r="F39" s="45">
        <v>2</v>
      </c>
      <c r="G39" s="45">
        <v>2</v>
      </c>
      <c r="H39" s="45">
        <v>2</v>
      </c>
      <c r="I39" s="45">
        <v>2</v>
      </c>
      <c r="J39" s="45">
        <v>2</v>
      </c>
      <c r="K39" s="45">
        <v>4</v>
      </c>
      <c r="L39" s="45">
        <v>2</v>
      </c>
      <c r="M39" s="45">
        <v>2</v>
      </c>
      <c r="N39" s="45">
        <v>2</v>
      </c>
      <c r="O39" s="45">
        <v>2</v>
      </c>
      <c r="P39" s="45">
        <v>2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3</v>
      </c>
      <c r="W39" s="45">
        <v>3</v>
      </c>
      <c r="X39" s="45">
        <v>3</v>
      </c>
      <c r="Y39" s="45">
        <v>3</v>
      </c>
      <c r="Z39" s="45">
        <v>3</v>
      </c>
      <c r="AA39" s="45">
        <v>6</v>
      </c>
      <c r="AB39" s="45">
        <v>6</v>
      </c>
      <c r="AC39" s="45">
        <v>6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6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7.9</v>
      </c>
      <c r="C40" s="45">
        <v>7.9</v>
      </c>
      <c r="D40" s="45">
        <v>7.9</v>
      </c>
      <c r="E40" s="45">
        <v>7.9</v>
      </c>
      <c r="F40" s="45">
        <v>7.9</v>
      </c>
      <c r="G40" s="45">
        <v>7.9</v>
      </c>
      <c r="H40" s="45">
        <v>7.9</v>
      </c>
      <c r="I40" s="45">
        <v>7.9</v>
      </c>
      <c r="J40" s="45">
        <v>7.9</v>
      </c>
      <c r="K40" s="45">
        <v>7.9</v>
      </c>
      <c r="L40" s="45">
        <v>7.9</v>
      </c>
      <c r="M40" s="45">
        <v>7.9</v>
      </c>
      <c r="N40" s="45">
        <v>7.9</v>
      </c>
      <c r="O40" s="45">
        <v>7.9</v>
      </c>
      <c r="P40" s="45">
        <v>7.9</v>
      </c>
      <c r="Q40" s="45">
        <v>7.9</v>
      </c>
      <c r="R40" s="45">
        <v>7.9</v>
      </c>
      <c r="S40" s="45">
        <v>7.9</v>
      </c>
      <c r="T40" s="45">
        <v>7.9</v>
      </c>
      <c r="U40" s="45">
        <v>7.9</v>
      </c>
      <c r="V40" s="45">
        <v>7.9</v>
      </c>
      <c r="W40" s="45">
        <v>7.9</v>
      </c>
      <c r="X40" s="45">
        <v>7.9</v>
      </c>
      <c r="Y40" s="45">
        <v>7.9</v>
      </c>
      <c r="Z40" s="45">
        <v>7.9</v>
      </c>
      <c r="AA40" s="45">
        <v>7.9</v>
      </c>
      <c r="AB40" s="45">
        <v>7.9</v>
      </c>
      <c r="AC40" s="45">
        <v>7.9</v>
      </c>
      <c r="AD40" s="45">
        <v>7.9</v>
      </c>
      <c r="AE40" s="45">
        <v>7.9</v>
      </c>
      <c r="AF40" s="45">
        <v>7.9</v>
      </c>
      <c r="AG40" s="49">
        <v>12</v>
      </c>
      <c r="AH40" s="47">
        <f t="shared" si="2"/>
        <v>7.9</v>
      </c>
      <c r="AI40" s="48">
        <f t="shared" si="3"/>
        <v>7.9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>
        <v>10</v>
      </c>
      <c r="K44" s="45">
        <v>10</v>
      </c>
      <c r="L44" s="45">
        <v>10</v>
      </c>
      <c r="M44" s="45">
        <v>10</v>
      </c>
      <c r="N44" s="45">
        <v>10</v>
      </c>
      <c r="O44" s="45">
        <v>10</v>
      </c>
      <c r="P44" s="45">
        <v>10</v>
      </c>
      <c r="Q44" s="45">
        <v>10</v>
      </c>
      <c r="R44" s="45">
        <v>10</v>
      </c>
      <c r="S44" s="45">
        <v>10</v>
      </c>
      <c r="T44" s="45">
        <v>10</v>
      </c>
      <c r="U44" s="45">
        <v>10</v>
      </c>
      <c r="V44" s="45">
        <v>10</v>
      </c>
      <c r="W44" s="45">
        <v>10</v>
      </c>
      <c r="X44" s="45">
        <v>10</v>
      </c>
      <c r="Y44" s="45">
        <v>10</v>
      </c>
      <c r="Z44" s="45">
        <v>10</v>
      </c>
      <c r="AA44" s="45">
        <v>10</v>
      </c>
      <c r="AB44" s="45">
        <v>10</v>
      </c>
      <c r="AC44" s="45">
        <v>10</v>
      </c>
      <c r="AD44" s="45">
        <v>10</v>
      </c>
      <c r="AE44" s="45">
        <v>10</v>
      </c>
      <c r="AF44" s="45">
        <v>10</v>
      </c>
      <c r="AG44" s="54">
        <v>11</v>
      </c>
      <c r="AH44" s="47">
        <f t="shared" si="2"/>
        <v>10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5</v>
      </c>
      <c r="AC46" s="45">
        <v>5</v>
      </c>
      <c r="AD46" s="45">
        <v>5</v>
      </c>
      <c r="AE46" s="45">
        <v>5</v>
      </c>
      <c r="AF46" s="45">
        <v>9</v>
      </c>
      <c r="AG46" s="54">
        <v>10</v>
      </c>
      <c r="AH46" s="47">
        <f t="shared" si="2"/>
        <v>9</v>
      </c>
      <c r="AI46" s="48">
        <f t="shared" si="3"/>
        <v>5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101.3</v>
      </c>
      <c r="C49" s="56">
        <v>101.3</v>
      </c>
      <c r="D49" s="56">
        <v>101.3</v>
      </c>
      <c r="E49" s="56">
        <v>101.3</v>
      </c>
      <c r="F49" s="56">
        <f>78.5+26.2</f>
        <v>104.7</v>
      </c>
      <c r="G49" s="56">
        <f>23.4+68.6</f>
        <v>92</v>
      </c>
      <c r="H49" s="56">
        <f>23.3+68.7</f>
        <v>92</v>
      </c>
      <c r="I49" s="56">
        <f>23.3+68.7</f>
        <v>92</v>
      </c>
      <c r="J49" s="56">
        <f>23.1+68</f>
        <v>91.1</v>
      </c>
      <c r="K49" s="56">
        <f t="shared" ref="K49:Z49" si="4">23.4+68.2</f>
        <v>91.6</v>
      </c>
      <c r="L49" s="56">
        <f t="shared" si="4"/>
        <v>91.6</v>
      </c>
      <c r="M49" s="56">
        <f t="shared" si="4"/>
        <v>91.6</v>
      </c>
      <c r="N49" s="56">
        <f t="shared" si="4"/>
        <v>91.6</v>
      </c>
      <c r="O49" s="56">
        <f t="shared" si="4"/>
        <v>91.6</v>
      </c>
      <c r="P49" s="56">
        <f t="shared" si="4"/>
        <v>91.6</v>
      </c>
      <c r="Q49" s="56">
        <f t="shared" si="4"/>
        <v>91.6</v>
      </c>
      <c r="R49" s="56">
        <f t="shared" si="4"/>
        <v>91.6</v>
      </c>
      <c r="S49" s="56">
        <f t="shared" si="4"/>
        <v>91.6</v>
      </c>
      <c r="T49" s="56">
        <f t="shared" si="4"/>
        <v>91.6</v>
      </c>
      <c r="U49" s="56">
        <f t="shared" si="4"/>
        <v>91.6</v>
      </c>
      <c r="V49" s="56">
        <f t="shared" si="4"/>
        <v>91.6</v>
      </c>
      <c r="W49" s="56">
        <f t="shared" si="4"/>
        <v>91.6</v>
      </c>
      <c r="X49" s="56">
        <f t="shared" si="4"/>
        <v>91.6</v>
      </c>
      <c r="Y49" s="56">
        <f t="shared" si="4"/>
        <v>91.6</v>
      </c>
      <c r="Z49" s="56">
        <f t="shared" si="4"/>
        <v>91.6</v>
      </c>
      <c r="AA49" s="56">
        <v>91.6</v>
      </c>
      <c r="AB49" s="56">
        <v>97.5</v>
      </c>
      <c r="AC49" s="56">
        <v>100</v>
      </c>
      <c r="AD49" s="56">
        <f>25.3+76.4</f>
        <v>101.7</v>
      </c>
      <c r="AE49" s="56">
        <f>25.3+76.4</f>
        <v>101.7</v>
      </c>
      <c r="AF49" s="56">
        <f>25.3+76.4</f>
        <v>101.7</v>
      </c>
      <c r="AG49" s="54">
        <v>240</v>
      </c>
      <c r="AH49" s="47">
        <f t="shared" si="2"/>
        <v>104.7</v>
      </c>
      <c r="AI49" s="48">
        <f t="shared" si="3"/>
        <v>91.1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950.4</v>
      </c>
      <c r="C50" s="60">
        <f t="shared" si="5"/>
        <v>1040.4000000000001</v>
      </c>
      <c r="D50" s="60">
        <f t="shared" si="5"/>
        <v>1040.4000000000001</v>
      </c>
      <c r="E50" s="60">
        <f t="shared" si="5"/>
        <v>1030.9000000000001</v>
      </c>
      <c r="F50" s="60">
        <f t="shared" si="5"/>
        <v>1022.8000000000001</v>
      </c>
      <c r="G50" s="60">
        <f t="shared" si="5"/>
        <v>1022.8000000000001</v>
      </c>
      <c r="H50" s="60">
        <f t="shared" si="5"/>
        <v>1022.8000000000001</v>
      </c>
      <c r="I50" s="60">
        <f t="shared" si="5"/>
        <v>1026.4000000000001</v>
      </c>
      <c r="J50" s="60">
        <f t="shared" si="5"/>
        <v>1031.5999999999999</v>
      </c>
      <c r="K50" s="60">
        <f t="shared" si="5"/>
        <v>1046.8</v>
      </c>
      <c r="L50" s="60">
        <f t="shared" si="5"/>
        <v>1032.5999999999999</v>
      </c>
      <c r="M50" s="60">
        <f t="shared" si="5"/>
        <v>1032.5999999999999</v>
      </c>
      <c r="N50" s="60">
        <f t="shared" si="5"/>
        <v>1032.5999999999999</v>
      </c>
      <c r="O50" s="60">
        <f>SUM(O11:O48)</f>
        <v>1032.5999999999999</v>
      </c>
      <c r="P50" s="60">
        <f>SUM(P11:P48)</f>
        <v>1034.0999999999999</v>
      </c>
      <c r="Q50" s="60">
        <f t="shared" si="5"/>
        <v>1017.1</v>
      </c>
      <c r="R50" s="60">
        <f t="shared" si="5"/>
        <v>1017.1</v>
      </c>
      <c r="S50" s="60">
        <f t="shared" ref="S50:Z50" si="6">SUM(S11:S48)</f>
        <v>1030.1999999999998</v>
      </c>
      <c r="T50" s="60">
        <f t="shared" si="6"/>
        <v>1044.6999999999998</v>
      </c>
      <c r="U50" s="60">
        <f t="shared" si="6"/>
        <v>1044.6999999999998</v>
      </c>
      <c r="V50" s="60">
        <f t="shared" si="6"/>
        <v>1017.1</v>
      </c>
      <c r="W50" s="60">
        <f t="shared" si="6"/>
        <v>1017.1</v>
      </c>
      <c r="X50" s="60">
        <f t="shared" si="6"/>
        <v>1017.1</v>
      </c>
      <c r="Y50" s="60">
        <f t="shared" si="6"/>
        <v>1017.1</v>
      </c>
      <c r="Z50" s="60">
        <f t="shared" si="6"/>
        <v>1022.1</v>
      </c>
      <c r="AA50" s="60">
        <v>1085.1999999999998</v>
      </c>
      <c r="AB50" s="60">
        <f t="shared" si="5"/>
        <v>1088</v>
      </c>
      <c r="AC50" s="60">
        <f t="shared" si="5"/>
        <v>1088.4000000000001</v>
      </c>
      <c r="AD50" s="60">
        <f t="shared" si="5"/>
        <v>1088.4000000000001</v>
      </c>
      <c r="AE50" s="60">
        <f t="shared" si="5"/>
        <v>1051.4000000000001</v>
      </c>
      <c r="AF50" s="60">
        <f t="shared" si="5"/>
        <v>1055.4000000000001</v>
      </c>
      <c r="AG50" s="61">
        <f>SUM(AG13:AG48)</f>
        <v>922.14</v>
      </c>
      <c r="AH50" s="47">
        <f t="shared" si="2"/>
        <v>1088.4000000000001</v>
      </c>
      <c r="AI50" s="48">
        <f t="shared" si="3"/>
        <v>950.4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538.4</v>
      </c>
      <c r="C54" s="60">
        <f t="shared" si="7"/>
        <v>538.4</v>
      </c>
      <c r="D54" s="60">
        <f t="shared" si="7"/>
        <v>538.4</v>
      </c>
      <c r="E54" s="60">
        <f t="shared" si="7"/>
        <v>538.4</v>
      </c>
      <c r="F54" s="60">
        <f t="shared" si="7"/>
        <v>538.4</v>
      </c>
      <c r="G54" s="60">
        <f t="shared" si="7"/>
        <v>538.4</v>
      </c>
      <c r="H54" s="60">
        <f t="shared" si="7"/>
        <v>538.4</v>
      </c>
      <c r="I54" s="60">
        <f t="shared" si="7"/>
        <v>538.4</v>
      </c>
      <c r="J54" s="60">
        <f t="shared" si="7"/>
        <v>538.4</v>
      </c>
      <c r="K54" s="60">
        <f t="shared" si="7"/>
        <v>538.4</v>
      </c>
      <c r="L54" s="60">
        <f t="shared" si="7"/>
        <v>538.4</v>
      </c>
      <c r="M54" s="60">
        <f t="shared" si="7"/>
        <v>538.4</v>
      </c>
      <c r="N54" s="60">
        <f t="shared" si="7"/>
        <v>538.4</v>
      </c>
      <c r="O54" s="60">
        <f>SUM(O51:O53)</f>
        <v>538.4</v>
      </c>
      <c r="P54" s="60">
        <f t="shared" si="7"/>
        <v>538.4</v>
      </c>
      <c r="Q54" s="60">
        <f t="shared" si="7"/>
        <v>538.4</v>
      </c>
      <c r="R54" s="60">
        <f t="shared" si="7"/>
        <v>538.4</v>
      </c>
      <c r="S54" s="60">
        <f t="shared" ref="S54:Z54" si="8">SUM(S51:S53)</f>
        <v>538.4</v>
      </c>
      <c r="T54" s="60">
        <f t="shared" si="8"/>
        <v>538.4</v>
      </c>
      <c r="U54" s="60">
        <f t="shared" si="8"/>
        <v>538.4</v>
      </c>
      <c r="V54" s="60">
        <f t="shared" si="8"/>
        <v>538.4</v>
      </c>
      <c r="W54" s="60">
        <f t="shared" si="8"/>
        <v>538.4</v>
      </c>
      <c r="X54" s="60">
        <f t="shared" si="8"/>
        <v>538.4</v>
      </c>
      <c r="Y54" s="60">
        <f t="shared" si="8"/>
        <v>538.4</v>
      </c>
      <c r="Z54" s="60">
        <f t="shared" si="8"/>
        <v>538.4</v>
      </c>
      <c r="AA54" s="60">
        <v>538.4</v>
      </c>
      <c r="AB54" s="60">
        <f t="shared" si="7"/>
        <v>538.4</v>
      </c>
      <c r="AC54" s="60">
        <f t="shared" si="7"/>
        <v>538.4</v>
      </c>
      <c r="AD54" s="60">
        <f t="shared" si="7"/>
        <v>538.4</v>
      </c>
      <c r="AE54" s="60">
        <f t="shared" si="7"/>
        <v>538.4</v>
      </c>
      <c r="AF54" s="60">
        <f t="shared" si="7"/>
        <v>538.4</v>
      </c>
      <c r="AG54" s="61">
        <f t="shared" si="7"/>
        <v>538.1</v>
      </c>
      <c r="AH54" s="47">
        <f t="shared" si="2"/>
        <v>538.4</v>
      </c>
      <c r="AI54" s="48">
        <f t="shared" si="3"/>
        <v>538.4</v>
      </c>
      <c r="AK54" s="50"/>
    </row>
    <row r="55" spans="1:41" x14ac:dyDescent="0.25">
      <c r="A55" s="44" t="s">
        <v>63</v>
      </c>
      <c r="B55" s="45">
        <v>126.2</v>
      </c>
      <c r="C55" s="45">
        <v>126.2</v>
      </c>
      <c r="D55" s="45">
        <v>126.2</v>
      </c>
      <c r="E55" s="45">
        <v>126.2</v>
      </c>
      <c r="F55" s="45">
        <v>121.3</v>
      </c>
      <c r="G55" s="45">
        <v>121.3</v>
      </c>
      <c r="H55" s="45">
        <v>121.3</v>
      </c>
      <c r="I55" s="45">
        <v>121.6</v>
      </c>
      <c r="J55" s="45">
        <v>134</v>
      </c>
      <c r="K55" s="45">
        <v>134.5</v>
      </c>
      <c r="L55" s="45">
        <v>121.3</v>
      </c>
      <c r="M55" s="45">
        <v>121.4</v>
      </c>
      <c r="N55" s="45">
        <v>129</v>
      </c>
      <c r="O55" s="45">
        <v>129</v>
      </c>
      <c r="P55" s="45">
        <v>135</v>
      </c>
      <c r="Q55" s="45">
        <v>135</v>
      </c>
      <c r="R55" s="45">
        <v>135</v>
      </c>
      <c r="S55" s="45">
        <v>133.69999999999999</v>
      </c>
      <c r="T55" s="45">
        <v>133.69999999999999</v>
      </c>
      <c r="U55" s="45">
        <v>133.69999999999999</v>
      </c>
      <c r="V55" s="45">
        <v>121.4</v>
      </c>
      <c r="W55" s="45">
        <v>121.4</v>
      </c>
      <c r="X55" s="45">
        <v>131.19999999999999</v>
      </c>
      <c r="Y55" s="45">
        <v>131.19999999999999</v>
      </c>
      <c r="Z55" s="45">
        <v>131.19999999999999</v>
      </c>
      <c r="AA55" s="45">
        <v>131.4</v>
      </c>
      <c r="AB55" s="45">
        <v>135.30000000000001</v>
      </c>
      <c r="AC55" s="45">
        <v>135.30000000000001</v>
      </c>
      <c r="AD55" s="45">
        <v>135.30000000000001</v>
      </c>
      <c r="AE55" s="45">
        <v>135.30000000000001</v>
      </c>
      <c r="AF55" s="45">
        <v>135.30000000000001</v>
      </c>
      <c r="AG55" s="51">
        <v>144</v>
      </c>
      <c r="AH55" s="47">
        <f t="shared" si="2"/>
        <v>135.30000000000001</v>
      </c>
      <c r="AI55" s="48">
        <f t="shared" si="3"/>
        <v>121.3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53.6</v>
      </c>
      <c r="E56" s="64">
        <v>53.6</v>
      </c>
      <c r="F56" s="64">
        <v>50.4</v>
      </c>
      <c r="G56" s="64">
        <v>50.4</v>
      </c>
      <c r="H56" s="64">
        <v>50.4</v>
      </c>
      <c r="I56" s="64">
        <v>59.1</v>
      </c>
      <c r="J56" s="64">
        <v>66.2</v>
      </c>
      <c r="K56" s="64">
        <v>69.8</v>
      </c>
      <c r="L56" s="64">
        <v>50.3</v>
      </c>
      <c r="M56" s="64">
        <v>55.1</v>
      </c>
      <c r="N56" s="64">
        <v>70</v>
      </c>
      <c r="O56" s="64">
        <v>70</v>
      </c>
      <c r="P56" s="64">
        <v>60.6</v>
      </c>
      <c r="Q56" s="64">
        <v>60.6</v>
      </c>
      <c r="R56" s="64">
        <v>70</v>
      </c>
      <c r="S56" s="64">
        <v>70</v>
      </c>
      <c r="T56" s="64">
        <v>68</v>
      </c>
      <c r="U56" s="64">
        <v>68</v>
      </c>
      <c r="V56" s="64">
        <v>51.3</v>
      </c>
      <c r="W56" s="64">
        <v>69.900000000000006</v>
      </c>
      <c r="X56" s="64">
        <v>70.099999999999994</v>
      </c>
      <c r="Y56" s="64">
        <v>70.099999999999994</v>
      </c>
      <c r="Z56" s="64">
        <v>70.099999999999994</v>
      </c>
      <c r="AA56" s="45">
        <v>70.099999999999994</v>
      </c>
      <c r="AB56" s="45">
        <v>68.3</v>
      </c>
      <c r="AC56" s="45">
        <v>68.3</v>
      </c>
      <c r="AD56" s="45">
        <v>69.8</v>
      </c>
      <c r="AE56" s="45">
        <v>69.8</v>
      </c>
      <c r="AF56" s="45">
        <v>61.6</v>
      </c>
      <c r="AG56" s="54">
        <v>70</v>
      </c>
      <c r="AH56" s="47">
        <f t="shared" si="2"/>
        <v>70.099999999999994</v>
      </c>
      <c r="AI56" s="48">
        <f t="shared" si="3"/>
        <v>50.3</v>
      </c>
      <c r="AK56" s="50"/>
    </row>
    <row r="57" spans="1:41" x14ac:dyDescent="0.25">
      <c r="A57" s="53" t="s">
        <v>65</v>
      </c>
      <c r="B57" s="64">
        <v>60</v>
      </c>
      <c r="C57" s="64">
        <v>60</v>
      </c>
      <c r="D57" s="64">
        <v>49.5</v>
      </c>
      <c r="E57" s="64">
        <v>49.5</v>
      </c>
      <c r="F57" s="64">
        <v>52.1</v>
      </c>
      <c r="G57" s="64">
        <v>51.1</v>
      </c>
      <c r="H57" s="64">
        <v>51.1</v>
      </c>
      <c r="I57" s="64">
        <v>61.9</v>
      </c>
      <c r="J57" s="64">
        <v>62.4</v>
      </c>
      <c r="K57" s="64">
        <v>64.5</v>
      </c>
      <c r="L57" s="64">
        <v>55.1</v>
      </c>
      <c r="M57" s="64">
        <v>50</v>
      </c>
      <c r="N57" s="64">
        <v>52</v>
      </c>
      <c r="O57" s="64">
        <v>52</v>
      </c>
      <c r="P57" s="64">
        <v>55</v>
      </c>
      <c r="Q57" s="64">
        <v>55</v>
      </c>
      <c r="R57" s="64">
        <v>63.7</v>
      </c>
      <c r="S57" s="64">
        <v>64.3</v>
      </c>
      <c r="T57" s="64">
        <v>63.5</v>
      </c>
      <c r="U57" s="64">
        <v>63.5</v>
      </c>
      <c r="V57" s="64">
        <v>52.7</v>
      </c>
      <c r="W57" s="64">
        <v>55.6</v>
      </c>
      <c r="X57" s="64">
        <v>55.6</v>
      </c>
      <c r="Y57" s="64">
        <v>55.6</v>
      </c>
      <c r="Z57" s="64">
        <v>64.099999999999994</v>
      </c>
      <c r="AA57" s="45">
        <v>63.9</v>
      </c>
      <c r="AB57" s="45">
        <v>64</v>
      </c>
      <c r="AC57" s="45">
        <v>64</v>
      </c>
      <c r="AD57" s="45">
        <v>64.099999999999994</v>
      </c>
      <c r="AE57" s="45">
        <v>64.099999999999994</v>
      </c>
      <c r="AF57" s="45">
        <v>64.099999999999994</v>
      </c>
      <c r="AG57" s="54">
        <v>69</v>
      </c>
      <c r="AH57" s="47">
        <f t="shared" si="2"/>
        <v>64.5</v>
      </c>
      <c r="AI57" s="48">
        <f t="shared" si="3"/>
        <v>49.5</v>
      </c>
      <c r="AK57" s="50"/>
    </row>
    <row r="58" spans="1:41" x14ac:dyDescent="0.25">
      <c r="A58" s="53" t="s">
        <v>66</v>
      </c>
      <c r="B58" s="64">
        <v>50.9</v>
      </c>
      <c r="C58" s="64">
        <v>50.9</v>
      </c>
      <c r="D58" s="64">
        <v>50.4</v>
      </c>
      <c r="E58" s="64">
        <v>50.4</v>
      </c>
      <c r="F58" s="56">
        <v>41.3</v>
      </c>
      <c r="G58" s="56">
        <v>41.3</v>
      </c>
      <c r="H58" s="56">
        <v>50</v>
      </c>
      <c r="I58" s="56">
        <v>50.2</v>
      </c>
      <c r="J58" s="56">
        <v>63</v>
      </c>
      <c r="K58" s="56">
        <v>62</v>
      </c>
      <c r="L58" s="56">
        <v>53.5</v>
      </c>
      <c r="M58" s="56">
        <v>52.9</v>
      </c>
      <c r="N58" s="56">
        <v>61</v>
      </c>
      <c r="O58" s="56">
        <v>61</v>
      </c>
      <c r="P58" s="56">
        <v>53.4</v>
      </c>
      <c r="Q58" s="56">
        <v>53.4</v>
      </c>
      <c r="R58" s="56">
        <v>53.2</v>
      </c>
      <c r="S58" s="56">
        <v>60</v>
      </c>
      <c r="T58" s="56">
        <v>60.2</v>
      </c>
      <c r="U58" s="56">
        <v>60.2</v>
      </c>
      <c r="V58" s="56">
        <v>50.2</v>
      </c>
      <c r="W58" s="56">
        <v>61.4</v>
      </c>
      <c r="X58" s="56">
        <v>61.4</v>
      </c>
      <c r="Y58" s="56">
        <v>61.4</v>
      </c>
      <c r="Z58" s="56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61.4</v>
      </c>
      <c r="AF58" s="45">
        <v>61.4</v>
      </c>
      <c r="AG58" s="54">
        <v>60</v>
      </c>
      <c r="AH58" s="47">
        <f t="shared" si="2"/>
        <v>63</v>
      </c>
      <c r="AI58" s="48">
        <f t="shared" si="3"/>
        <v>41.3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56">
        <v>30</v>
      </c>
      <c r="T59" s="56">
        <v>28</v>
      </c>
      <c r="U59" s="56">
        <v>28</v>
      </c>
      <c r="V59" s="56">
        <v>28</v>
      </c>
      <c r="W59" s="56">
        <v>28</v>
      </c>
      <c r="X59" s="56">
        <v>28</v>
      </c>
      <c r="Y59" s="56">
        <v>28</v>
      </c>
      <c r="Z59" s="56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30</v>
      </c>
      <c r="AI59" s="48">
        <f t="shared" si="3"/>
        <v>28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0.7</v>
      </c>
      <c r="K60" s="64">
        <v>2.1</v>
      </c>
      <c r="L60" s="64">
        <v>8.6999999999999993</v>
      </c>
      <c r="M60" s="64">
        <v>8.6999999999999993</v>
      </c>
      <c r="N60" s="64">
        <v>8.6999999999999993</v>
      </c>
      <c r="O60" s="64">
        <v>8.6999999999999993</v>
      </c>
      <c r="P60" s="64">
        <v>8.6999999999999993</v>
      </c>
      <c r="Q60" s="64">
        <v>8.6999999999999993</v>
      </c>
      <c r="R60" s="64">
        <v>8.6999999999999993</v>
      </c>
      <c r="S60" s="64">
        <v>17.5</v>
      </c>
      <c r="T60" s="64">
        <v>7.6</v>
      </c>
      <c r="U60" s="64">
        <v>5.2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15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4.5999999999999996</v>
      </c>
      <c r="Q62" s="64">
        <v>4.5999999999999996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4.5999999999999996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9.9</v>
      </c>
      <c r="C63" s="64">
        <v>9.9</v>
      </c>
      <c r="D63" s="64">
        <v>9.9</v>
      </c>
      <c r="E63" s="64">
        <v>9.9</v>
      </c>
      <c r="F63" s="64">
        <v>9.9</v>
      </c>
      <c r="G63" s="64">
        <v>9.9</v>
      </c>
      <c r="H63" s="64">
        <v>9.9</v>
      </c>
      <c r="I63" s="64">
        <v>9.9</v>
      </c>
      <c r="J63" s="64">
        <v>9.9</v>
      </c>
      <c r="K63" s="64">
        <v>9.9</v>
      </c>
      <c r="L63" s="64">
        <v>9.9</v>
      </c>
      <c r="M63" s="64">
        <v>9.9</v>
      </c>
      <c r="N63" s="64">
        <v>9.9</v>
      </c>
      <c r="O63" s="64">
        <v>9.9</v>
      </c>
      <c r="P63" s="64">
        <v>9.9</v>
      </c>
      <c r="Q63" s="64">
        <v>9.9</v>
      </c>
      <c r="R63" s="64">
        <v>9.9</v>
      </c>
      <c r="S63" s="64">
        <v>8.6</v>
      </c>
      <c r="T63" s="64">
        <v>7.8</v>
      </c>
      <c r="U63" s="64">
        <v>7.8</v>
      </c>
      <c r="V63" s="64">
        <v>7.8</v>
      </c>
      <c r="W63" s="64">
        <v>7.8</v>
      </c>
      <c r="X63" s="64">
        <v>7.8</v>
      </c>
      <c r="Y63" s="64">
        <v>7.8</v>
      </c>
      <c r="Z63" s="64">
        <v>8.1</v>
      </c>
      <c r="AA63" s="64">
        <v>9.3000000000000007</v>
      </c>
      <c r="AB63" s="64">
        <v>9.3000000000000007</v>
      </c>
      <c r="AC63" s="64">
        <v>9.3000000000000007</v>
      </c>
      <c r="AD63" s="64">
        <v>9.3000000000000007</v>
      </c>
      <c r="AE63" s="64">
        <v>9.3000000000000007</v>
      </c>
      <c r="AF63" s="64">
        <v>9.3000000000000007</v>
      </c>
      <c r="AG63" s="54">
        <v>14.1</v>
      </c>
      <c r="AH63" s="47">
        <f t="shared" si="2"/>
        <v>9.9</v>
      </c>
      <c r="AI63" s="48">
        <f t="shared" si="3"/>
        <v>7.8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</v>
      </c>
      <c r="C64" s="64">
        <v>10</v>
      </c>
      <c r="D64" s="64">
        <v>3.8</v>
      </c>
      <c r="E64" s="64">
        <v>3.8</v>
      </c>
      <c r="F64" s="64">
        <v>3.8</v>
      </c>
      <c r="G64" s="64">
        <v>3.8</v>
      </c>
      <c r="H64" s="64">
        <v>3.8</v>
      </c>
      <c r="I64" s="64">
        <v>3.8</v>
      </c>
      <c r="J64" s="64">
        <v>3.8</v>
      </c>
      <c r="K64" s="64">
        <v>3.8</v>
      </c>
      <c r="L64" s="64">
        <v>3.8</v>
      </c>
      <c r="M64" s="64">
        <v>3.8</v>
      </c>
      <c r="N64" s="64">
        <v>13.7</v>
      </c>
      <c r="O64" s="64">
        <v>13.7</v>
      </c>
      <c r="P64" s="64">
        <v>13.7</v>
      </c>
      <c r="Q64" s="64">
        <v>13.7</v>
      </c>
      <c r="R64" s="64">
        <v>13.7</v>
      </c>
      <c r="S64" s="64">
        <v>13.7</v>
      </c>
      <c r="T64" s="64">
        <v>13.7</v>
      </c>
      <c r="U64" s="64">
        <v>13.7</v>
      </c>
      <c r="V64" s="64">
        <v>9.8000000000000007</v>
      </c>
      <c r="W64" s="64">
        <v>9.8000000000000007</v>
      </c>
      <c r="X64" s="64">
        <v>9.8000000000000007</v>
      </c>
      <c r="Y64" s="64">
        <v>9.8000000000000007</v>
      </c>
      <c r="Z64" s="64">
        <v>9.8000000000000007</v>
      </c>
      <c r="AA64" s="64">
        <v>11.8</v>
      </c>
      <c r="AB64" s="64">
        <v>6</v>
      </c>
      <c r="AC64" s="64">
        <v>6</v>
      </c>
      <c r="AD64" s="64">
        <v>13.7</v>
      </c>
      <c r="AE64" s="64">
        <v>13.7</v>
      </c>
      <c r="AF64" s="64">
        <v>13.7</v>
      </c>
      <c r="AG64" s="54">
        <v>14</v>
      </c>
      <c r="AH64" s="47">
        <f t="shared" si="2"/>
        <v>13.7</v>
      </c>
      <c r="AI64" s="48">
        <f t="shared" si="3"/>
        <v>3.8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385.34</v>
      </c>
      <c r="C68" s="60">
        <f t="shared" si="9"/>
        <v>385.34</v>
      </c>
      <c r="D68" s="60">
        <f t="shared" si="9"/>
        <v>361.74</v>
      </c>
      <c r="E68" s="60">
        <f t="shared" si="9"/>
        <v>361.74</v>
      </c>
      <c r="F68" s="60">
        <f t="shared" si="9"/>
        <v>347.14</v>
      </c>
      <c r="G68" s="60">
        <f t="shared" si="9"/>
        <v>346.14</v>
      </c>
      <c r="H68" s="60">
        <f t="shared" si="9"/>
        <v>354.84</v>
      </c>
      <c r="I68" s="60">
        <f t="shared" si="9"/>
        <v>374.84000000000003</v>
      </c>
      <c r="J68" s="60">
        <f t="shared" si="9"/>
        <v>408.34</v>
      </c>
      <c r="K68" s="60">
        <f t="shared" si="9"/>
        <v>414.94000000000005</v>
      </c>
      <c r="L68" s="60">
        <f t="shared" si="9"/>
        <v>370.94</v>
      </c>
      <c r="M68" s="60">
        <f t="shared" si="9"/>
        <v>367.14</v>
      </c>
      <c r="N68" s="60">
        <f t="shared" si="9"/>
        <v>409.64</v>
      </c>
      <c r="O68" s="60">
        <f>SUM(O55:O67)</f>
        <v>409.64</v>
      </c>
      <c r="P68" s="60">
        <f t="shared" si="9"/>
        <v>401.64</v>
      </c>
      <c r="Q68" s="60">
        <f t="shared" si="9"/>
        <v>401.64</v>
      </c>
      <c r="R68" s="60">
        <f t="shared" si="9"/>
        <v>414.93999999999994</v>
      </c>
      <c r="S68" s="60">
        <f t="shared" ref="S68:Z68" si="10">SUM(S55:S67)</f>
        <v>428.54</v>
      </c>
      <c r="T68" s="60">
        <f t="shared" si="10"/>
        <v>413.24</v>
      </c>
      <c r="U68" s="60">
        <f t="shared" si="10"/>
        <v>410.84</v>
      </c>
      <c r="V68" s="60">
        <f t="shared" si="10"/>
        <v>351.94</v>
      </c>
      <c r="W68" s="60">
        <f t="shared" si="10"/>
        <v>384.64000000000004</v>
      </c>
      <c r="X68" s="60">
        <f t="shared" si="10"/>
        <v>394.64</v>
      </c>
      <c r="Y68" s="60">
        <f t="shared" si="10"/>
        <v>394.64</v>
      </c>
      <c r="Z68" s="60">
        <f t="shared" si="10"/>
        <v>403.44</v>
      </c>
      <c r="AA68" s="60">
        <v>406.64</v>
      </c>
      <c r="AB68" s="60">
        <f t="shared" si="9"/>
        <v>403.04</v>
      </c>
      <c r="AC68" s="60">
        <f t="shared" si="9"/>
        <v>403.04</v>
      </c>
      <c r="AD68" s="60">
        <f t="shared" si="9"/>
        <v>412.34000000000003</v>
      </c>
      <c r="AE68" s="60">
        <f t="shared" si="9"/>
        <v>412.34000000000003</v>
      </c>
      <c r="AF68" s="60">
        <f t="shared" si="9"/>
        <v>404.14</v>
      </c>
      <c r="AG68" s="61">
        <f t="shared" si="9"/>
        <v>489.91</v>
      </c>
      <c r="AH68" s="47">
        <f t="shared" si="2"/>
        <v>428.54</v>
      </c>
      <c r="AI68" s="48">
        <f t="shared" si="3"/>
        <v>346.14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>
        <v>30</v>
      </c>
      <c r="AB69" s="45">
        <v>14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>
        <v>0</v>
      </c>
      <c r="AB70" s="64">
        <v>5.8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5.8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>
        <v>0</v>
      </c>
      <c r="AB71" s="66">
        <v>2.1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2.1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>O69+O70+O71</f>
        <v>0</v>
      </c>
      <c r="P72" s="60">
        <f t="shared" si="11"/>
        <v>0</v>
      </c>
      <c r="Q72" s="60">
        <f t="shared" si="11"/>
        <v>0</v>
      </c>
      <c r="R72" s="60">
        <f t="shared" si="11"/>
        <v>0</v>
      </c>
      <c r="S72" s="60">
        <f t="shared" ref="S72:Z72" si="12">S69+S70+S71</f>
        <v>0</v>
      </c>
      <c r="T72" s="60">
        <f t="shared" si="12"/>
        <v>0</v>
      </c>
      <c r="U72" s="60">
        <f t="shared" si="12"/>
        <v>0</v>
      </c>
      <c r="V72" s="60">
        <f t="shared" si="12"/>
        <v>0</v>
      </c>
      <c r="W72" s="60">
        <f t="shared" si="12"/>
        <v>0</v>
      </c>
      <c r="X72" s="60">
        <f t="shared" si="12"/>
        <v>0</v>
      </c>
      <c r="Y72" s="60">
        <f t="shared" si="12"/>
        <v>0</v>
      </c>
      <c r="Z72" s="60">
        <f t="shared" si="12"/>
        <v>0</v>
      </c>
      <c r="AA72" s="60">
        <v>30</v>
      </c>
      <c r="AB72" s="60">
        <f t="shared" si="11"/>
        <v>21.900000000000002</v>
      </c>
      <c r="AC72" s="60">
        <f t="shared" si="11"/>
        <v>0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30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-25</v>
      </c>
      <c r="C73" s="45">
        <v>-25</v>
      </c>
      <c r="D73" s="45">
        <v>-28</v>
      </c>
      <c r="E73" s="45">
        <v>-8.8000000000000007</v>
      </c>
      <c r="F73" s="45">
        <v>-11.4</v>
      </c>
      <c r="G73" s="45">
        <v>-17.399999999999999</v>
      </c>
      <c r="H73" s="45">
        <v>-19</v>
      </c>
      <c r="I73" s="45">
        <v>-32</v>
      </c>
      <c r="J73" s="45">
        <v>-25.8</v>
      </c>
      <c r="K73" s="45">
        <v>-2</v>
      </c>
      <c r="L73" s="45">
        <v>-2.5</v>
      </c>
      <c r="M73" s="45">
        <v>-20</v>
      </c>
      <c r="N73" s="45">
        <v>-7</v>
      </c>
      <c r="O73" s="45">
        <v>-7</v>
      </c>
      <c r="P73" s="45">
        <v>-6.4</v>
      </c>
      <c r="Q73" s="45">
        <v>-1.8</v>
      </c>
      <c r="R73" s="45">
        <v>-12</v>
      </c>
      <c r="S73" s="45">
        <v>16.5</v>
      </c>
      <c r="T73" s="45">
        <v>-28.6</v>
      </c>
      <c r="U73" s="45">
        <v>-28.6</v>
      </c>
      <c r="V73" s="45">
        <v>-33.6</v>
      </c>
      <c r="W73" s="45">
        <v>-29.7</v>
      </c>
      <c r="X73" s="45">
        <v>-39</v>
      </c>
      <c r="Y73" s="45">
        <v>-37</v>
      </c>
      <c r="Z73" s="45">
        <v>-10.6</v>
      </c>
      <c r="AA73" s="45">
        <v>7.1</v>
      </c>
      <c r="AB73" s="45">
        <v>1</v>
      </c>
      <c r="AC73" s="45">
        <v>2.1</v>
      </c>
      <c r="AD73" s="45">
        <v>2.1</v>
      </c>
      <c r="AE73" s="45">
        <v>11.2</v>
      </c>
      <c r="AF73" s="45">
        <v>2</v>
      </c>
      <c r="AG73" s="51"/>
      <c r="AH73" s="47">
        <f t="shared" si="2"/>
        <v>16.5</v>
      </c>
      <c r="AI73" s="48">
        <f t="shared" si="3"/>
        <v>-39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-257</v>
      </c>
      <c r="C75" s="64">
        <v>-369</v>
      </c>
      <c r="D75" s="64">
        <v>-383</v>
      </c>
      <c r="E75" s="64">
        <v>-388</v>
      </c>
      <c r="F75" s="64">
        <v>-410.8</v>
      </c>
      <c r="G75" s="64">
        <v>-401.1</v>
      </c>
      <c r="H75" s="64">
        <v>-414.4</v>
      </c>
      <c r="I75" s="64">
        <v>-468.8</v>
      </c>
      <c r="J75" s="64">
        <v>-465.8</v>
      </c>
      <c r="K75" s="64">
        <v>-483.7</v>
      </c>
      <c r="L75" s="64">
        <v>-405.9</v>
      </c>
      <c r="M75" s="64">
        <v>-381</v>
      </c>
      <c r="N75" s="64">
        <v>-316</v>
      </c>
      <c r="O75" s="64">
        <v>-316</v>
      </c>
      <c r="P75" s="64">
        <v>-289</v>
      </c>
      <c r="Q75" s="64">
        <v>-265</v>
      </c>
      <c r="R75" s="64">
        <v>-307</v>
      </c>
      <c r="S75" s="64">
        <v>-272</v>
      </c>
      <c r="T75" s="64">
        <v>-247.5</v>
      </c>
      <c r="U75" s="64">
        <v>-247.5</v>
      </c>
      <c r="V75" s="64">
        <v>-252.8</v>
      </c>
      <c r="W75" s="64">
        <v>-319.10000000000002</v>
      </c>
      <c r="X75" s="64">
        <v>-351.1</v>
      </c>
      <c r="Y75" s="64">
        <v>-312</v>
      </c>
      <c r="Z75" s="64">
        <v>-287.5</v>
      </c>
      <c r="AA75" s="64">
        <v>-281.39999999999998</v>
      </c>
      <c r="AB75" s="64">
        <v>-285</v>
      </c>
      <c r="AC75" s="64">
        <v>-301</v>
      </c>
      <c r="AD75" s="64">
        <v>-300.10000000000002</v>
      </c>
      <c r="AE75" s="64">
        <v>-309</v>
      </c>
      <c r="AF75" s="64">
        <v>-317.3</v>
      </c>
      <c r="AG75" s="74"/>
      <c r="AH75" s="47">
        <f t="shared" si="2"/>
        <v>-247.5</v>
      </c>
      <c r="AI75" s="48">
        <f t="shared" si="3"/>
        <v>-483.7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>
        <v>8</v>
      </c>
      <c r="C78" s="76">
        <v>8</v>
      </c>
      <c r="D78" s="64">
        <v>8</v>
      </c>
      <c r="E78" s="76">
        <v>0</v>
      </c>
      <c r="F78" s="76"/>
      <c r="G78" s="76">
        <v>0</v>
      </c>
      <c r="H78" s="76">
        <v>0</v>
      </c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13"/>
        <v>8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3"/>
        <v>0</v>
      </c>
      <c r="AI80" s="48">
        <f t="shared" si="14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 t="shared" ref="B84:AE84" si="15">SUMIF(B73:B83,"&gt;0")</f>
        <v>8</v>
      </c>
      <c r="C84" s="60">
        <f t="shared" si="15"/>
        <v>8</v>
      </c>
      <c r="D84" s="60">
        <f t="shared" si="15"/>
        <v>8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 t="shared" si="15"/>
        <v>0</v>
      </c>
      <c r="O84" s="60">
        <f>SUMIF(O73:O83,"&gt;0")</f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ref="S84:Z84" si="16">SUMIF(S73:S83,"&gt;0")</f>
        <v>16.5</v>
      </c>
      <c r="T84" s="60">
        <f t="shared" si="16"/>
        <v>0</v>
      </c>
      <c r="U84" s="60">
        <f t="shared" si="16"/>
        <v>0</v>
      </c>
      <c r="V84" s="60">
        <f t="shared" si="16"/>
        <v>0</v>
      </c>
      <c r="W84" s="60">
        <f t="shared" si="16"/>
        <v>0</v>
      </c>
      <c r="X84" s="60">
        <f t="shared" si="16"/>
        <v>0</v>
      </c>
      <c r="Y84" s="60">
        <f t="shared" si="16"/>
        <v>0</v>
      </c>
      <c r="Z84" s="60">
        <f t="shared" si="16"/>
        <v>0</v>
      </c>
      <c r="AA84" s="60">
        <v>7.1</v>
      </c>
      <c r="AB84" s="60">
        <f t="shared" si="15"/>
        <v>1</v>
      </c>
      <c r="AC84" s="60">
        <f t="shared" si="15"/>
        <v>2.1</v>
      </c>
      <c r="AD84" s="60">
        <f t="shared" si="15"/>
        <v>2.1</v>
      </c>
      <c r="AE84" s="60">
        <f t="shared" si="15"/>
        <v>11.2</v>
      </c>
      <c r="AF84" s="60">
        <f>SUMIF(AF73:AF83,"&gt;0")</f>
        <v>2</v>
      </c>
      <c r="AG84" s="87">
        <f>SUM(AG73:AG83)</f>
        <v>0</v>
      </c>
      <c r="AH84" s="47">
        <f t="shared" si="13"/>
        <v>16.5</v>
      </c>
      <c r="AI84" s="48">
        <f t="shared" si="14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>
        <v>0</v>
      </c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1882.1399999999999</v>
      </c>
      <c r="C89" s="94">
        <f t="shared" si="17"/>
        <v>1972.14</v>
      </c>
      <c r="D89" s="94">
        <f t="shared" si="17"/>
        <v>1948.5400000000002</v>
      </c>
      <c r="E89" s="94">
        <f t="shared" si="17"/>
        <v>1931.0400000000002</v>
      </c>
      <c r="F89" s="94">
        <f t="shared" si="17"/>
        <v>1908.3400000000001</v>
      </c>
      <c r="G89" s="94">
        <f t="shared" si="17"/>
        <v>1907.3400000000001</v>
      </c>
      <c r="H89" s="94">
        <f t="shared" si="17"/>
        <v>1916.04</v>
      </c>
      <c r="I89" s="94">
        <f t="shared" si="17"/>
        <v>1939.6400000000003</v>
      </c>
      <c r="J89" s="94">
        <f t="shared" si="17"/>
        <v>1978.34</v>
      </c>
      <c r="K89" s="94">
        <f t="shared" si="17"/>
        <v>2000.1399999999999</v>
      </c>
      <c r="L89" s="94">
        <f t="shared" si="17"/>
        <v>1941.94</v>
      </c>
      <c r="M89" s="94">
        <f t="shared" si="17"/>
        <v>1938.1399999999999</v>
      </c>
      <c r="N89" s="94">
        <f t="shared" si="17"/>
        <v>1980.6399999999999</v>
      </c>
      <c r="O89" s="94">
        <f>O50+O54+O72+O68+O84+O88</f>
        <v>1980.6399999999999</v>
      </c>
      <c r="P89" s="94">
        <f t="shared" si="17"/>
        <v>1974.1399999999999</v>
      </c>
      <c r="Q89" s="94">
        <f t="shared" si="17"/>
        <v>1957.1399999999999</v>
      </c>
      <c r="R89" s="94">
        <f t="shared" si="17"/>
        <v>1970.44</v>
      </c>
      <c r="S89" s="94">
        <f t="shared" ref="S89:Z89" si="18">S50+S54+S72+S68+S84+S88</f>
        <v>2013.6399999999999</v>
      </c>
      <c r="T89" s="94">
        <f t="shared" si="18"/>
        <v>1996.34</v>
      </c>
      <c r="U89" s="94">
        <f t="shared" si="18"/>
        <v>1993.9399999999998</v>
      </c>
      <c r="V89" s="94">
        <f t="shared" si="18"/>
        <v>1907.44</v>
      </c>
      <c r="W89" s="94">
        <f t="shared" si="18"/>
        <v>1940.14</v>
      </c>
      <c r="X89" s="94">
        <f t="shared" si="18"/>
        <v>1950.1399999999999</v>
      </c>
      <c r="Y89" s="94">
        <f t="shared" si="18"/>
        <v>1950.1399999999999</v>
      </c>
      <c r="Z89" s="94">
        <f t="shared" si="18"/>
        <v>1963.94</v>
      </c>
      <c r="AA89" s="94">
        <v>2067.3399999999997</v>
      </c>
      <c r="AB89" s="94">
        <f t="shared" si="17"/>
        <v>2052.34</v>
      </c>
      <c r="AC89" s="94">
        <f t="shared" si="17"/>
        <v>2031.94</v>
      </c>
      <c r="AD89" s="94">
        <f t="shared" si="17"/>
        <v>2041.2400000000002</v>
      </c>
      <c r="AE89" s="94">
        <f t="shared" si="17"/>
        <v>2013.3400000000004</v>
      </c>
      <c r="AF89" s="94">
        <f t="shared" si="17"/>
        <v>1999.94</v>
      </c>
      <c r="AG89" s="61">
        <f t="shared" si="17"/>
        <v>2111.5500000000002</v>
      </c>
      <c r="AH89" s="47">
        <f t="shared" si="13"/>
        <v>2067.3399999999997</v>
      </c>
      <c r="AI89" s="48">
        <f t="shared" si="14"/>
        <v>1882.1399999999999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0</v>
      </c>
      <c r="AI90" s="48">
        <f t="shared" si="14"/>
        <v>0</v>
      </c>
    </row>
    <row r="91" spans="1:40" ht="15.75" thickBot="1" x14ac:dyDescent="0.3">
      <c r="A91" s="73" t="s">
        <v>102</v>
      </c>
      <c r="B91" s="94">
        <f t="shared" ref="B91:AF91" si="19">B89+B90</f>
        <v>1882.1399999999999</v>
      </c>
      <c r="C91" s="94">
        <f t="shared" si="19"/>
        <v>1972.14</v>
      </c>
      <c r="D91" s="94">
        <f t="shared" si="19"/>
        <v>1948.5400000000002</v>
      </c>
      <c r="E91" s="94">
        <f t="shared" si="19"/>
        <v>1931.0400000000002</v>
      </c>
      <c r="F91" s="94">
        <f t="shared" si="19"/>
        <v>1908.3400000000001</v>
      </c>
      <c r="G91" s="94">
        <f t="shared" si="19"/>
        <v>1907.3400000000001</v>
      </c>
      <c r="H91" s="94">
        <f t="shared" si="19"/>
        <v>1916.04</v>
      </c>
      <c r="I91" s="94">
        <f t="shared" si="19"/>
        <v>1939.6400000000003</v>
      </c>
      <c r="J91" s="94">
        <f t="shared" si="19"/>
        <v>1978.34</v>
      </c>
      <c r="K91" s="94">
        <f t="shared" si="19"/>
        <v>2000.1399999999999</v>
      </c>
      <c r="L91" s="94">
        <f t="shared" si="19"/>
        <v>1941.94</v>
      </c>
      <c r="M91" s="94">
        <f t="shared" si="19"/>
        <v>1938.1399999999999</v>
      </c>
      <c r="N91" s="94">
        <f t="shared" si="19"/>
        <v>1980.6399999999999</v>
      </c>
      <c r="O91" s="94">
        <f>O89+O90</f>
        <v>1980.6399999999999</v>
      </c>
      <c r="P91" s="94">
        <f t="shared" si="19"/>
        <v>1974.1399999999999</v>
      </c>
      <c r="Q91" s="94">
        <f t="shared" si="19"/>
        <v>1957.1399999999999</v>
      </c>
      <c r="R91" s="94">
        <f t="shared" si="19"/>
        <v>1970.44</v>
      </c>
      <c r="S91" s="94">
        <f t="shared" ref="S91:Z91" si="20">S89+S90</f>
        <v>2013.6399999999999</v>
      </c>
      <c r="T91" s="94">
        <f t="shared" si="20"/>
        <v>1996.34</v>
      </c>
      <c r="U91" s="94">
        <f t="shared" si="20"/>
        <v>1993.9399999999998</v>
      </c>
      <c r="V91" s="94">
        <f t="shared" si="20"/>
        <v>1907.44</v>
      </c>
      <c r="W91" s="94">
        <f t="shared" si="20"/>
        <v>1940.14</v>
      </c>
      <c r="X91" s="94">
        <f t="shared" si="20"/>
        <v>1950.1399999999999</v>
      </c>
      <c r="Y91" s="94">
        <f t="shared" si="20"/>
        <v>1950.1399999999999</v>
      </c>
      <c r="Z91" s="94">
        <f t="shared" si="20"/>
        <v>1963.94</v>
      </c>
      <c r="AA91" s="94">
        <v>2067.3399999999997</v>
      </c>
      <c r="AB91" s="94">
        <f t="shared" si="19"/>
        <v>2052.34</v>
      </c>
      <c r="AC91" s="94">
        <f t="shared" si="19"/>
        <v>2031.94</v>
      </c>
      <c r="AD91" s="94">
        <f t="shared" si="19"/>
        <v>2041.2400000000002</v>
      </c>
      <c r="AE91" s="94">
        <f t="shared" si="19"/>
        <v>2013.3400000000004</v>
      </c>
      <c r="AF91" s="94">
        <f t="shared" si="19"/>
        <v>1999.94</v>
      </c>
      <c r="AG91" s="87">
        <f>AG88+AG84+AG72+AG68+AG50+AG90</f>
        <v>1573.45</v>
      </c>
      <c r="AH91" s="47">
        <f t="shared" si="13"/>
        <v>2067.3399999999997</v>
      </c>
      <c r="AI91" s="48">
        <f t="shared" si="14"/>
        <v>1882.1399999999999</v>
      </c>
    </row>
    <row r="92" spans="1:40" ht="15.75" thickBot="1" x14ac:dyDescent="0.3">
      <c r="A92" s="73" t="s">
        <v>103</v>
      </c>
      <c r="B92" s="94">
        <f t="shared" ref="B92:AF92" si="21">B91-B99</f>
        <v>1882.1399999999999</v>
      </c>
      <c r="C92" s="94">
        <f t="shared" si="21"/>
        <v>1972.14</v>
      </c>
      <c r="D92" s="94">
        <f t="shared" si="21"/>
        <v>1948.5400000000002</v>
      </c>
      <c r="E92" s="94">
        <f t="shared" si="21"/>
        <v>1931.0400000000002</v>
      </c>
      <c r="F92" s="94">
        <f t="shared" si="21"/>
        <v>1908.3400000000001</v>
      </c>
      <c r="G92" s="94">
        <f t="shared" si="21"/>
        <v>1907.3400000000001</v>
      </c>
      <c r="H92" s="94">
        <f t="shared" si="21"/>
        <v>1916.04</v>
      </c>
      <c r="I92" s="94">
        <f t="shared" si="21"/>
        <v>1939.6400000000003</v>
      </c>
      <c r="J92" s="94">
        <f t="shared" si="21"/>
        <v>1978.34</v>
      </c>
      <c r="K92" s="94">
        <f t="shared" si="21"/>
        <v>2000.1399999999999</v>
      </c>
      <c r="L92" s="94">
        <f t="shared" si="21"/>
        <v>1941.94</v>
      </c>
      <c r="M92" s="94">
        <f t="shared" si="21"/>
        <v>1938.1399999999999</v>
      </c>
      <c r="N92" s="94">
        <f t="shared" si="21"/>
        <v>1980.6399999999999</v>
      </c>
      <c r="O92" s="94">
        <f>O91-O99</f>
        <v>1980.6399999999999</v>
      </c>
      <c r="P92" s="94">
        <f t="shared" si="21"/>
        <v>1974.1399999999999</v>
      </c>
      <c r="Q92" s="94">
        <f t="shared" si="21"/>
        <v>1957.1399999999999</v>
      </c>
      <c r="R92" s="94">
        <f t="shared" si="21"/>
        <v>1970.44</v>
      </c>
      <c r="S92" s="94">
        <f t="shared" ref="S92:Z92" si="22">S91-S99</f>
        <v>2013.6399999999999</v>
      </c>
      <c r="T92" s="94">
        <f t="shared" si="22"/>
        <v>1996.34</v>
      </c>
      <c r="U92" s="94">
        <f t="shared" si="22"/>
        <v>1993.9399999999998</v>
      </c>
      <c r="V92" s="94">
        <f t="shared" si="22"/>
        <v>1907.44</v>
      </c>
      <c r="W92" s="94">
        <f t="shared" si="22"/>
        <v>1940.14</v>
      </c>
      <c r="X92" s="94">
        <f t="shared" si="22"/>
        <v>1950.1399999999999</v>
      </c>
      <c r="Y92" s="94">
        <f t="shared" si="22"/>
        <v>1950.1399999999999</v>
      </c>
      <c r="Z92" s="94">
        <f t="shared" si="22"/>
        <v>1963.94</v>
      </c>
      <c r="AA92" s="94">
        <v>2067.3399999999997</v>
      </c>
      <c r="AB92" s="94">
        <f t="shared" si="21"/>
        <v>2052.34</v>
      </c>
      <c r="AC92" s="94">
        <f t="shared" si="21"/>
        <v>2031.94</v>
      </c>
      <c r="AD92" s="94">
        <f t="shared" si="21"/>
        <v>2041.2400000000002</v>
      </c>
      <c r="AE92" s="94">
        <f t="shared" si="21"/>
        <v>2013.3400000000004</v>
      </c>
      <c r="AF92" s="94">
        <f t="shared" si="21"/>
        <v>1999.94</v>
      </c>
      <c r="AG92" s="87"/>
      <c r="AH92" s="47">
        <f t="shared" si="13"/>
        <v>2067.3399999999997</v>
      </c>
      <c r="AI92" s="48">
        <f t="shared" si="14"/>
        <v>1882.1399999999999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>
        <v>0</v>
      </c>
      <c r="AB99" s="60"/>
      <c r="AC99" s="60"/>
      <c r="AD99" s="60"/>
      <c r="AE99" s="60"/>
      <c r="AF99" s="60"/>
      <c r="AG99" s="87"/>
      <c r="AH99" s="47">
        <f t="shared" si="13"/>
        <v>0</v>
      </c>
      <c r="AI99" s="48">
        <f t="shared" si="14"/>
        <v>0</v>
      </c>
      <c r="AK99" s="50"/>
    </row>
    <row r="100" spans="1:37" ht="15.75" thickBot="1" x14ac:dyDescent="0.3">
      <c r="A100" s="73" t="s">
        <v>108</v>
      </c>
      <c r="B100" s="60">
        <f t="shared" ref="B100:AF100" si="23">B84-B99</f>
        <v>8</v>
      </c>
      <c r="C100" s="60">
        <f t="shared" si="23"/>
        <v>8</v>
      </c>
      <c r="D100" s="60">
        <f t="shared" si="23"/>
        <v>8</v>
      </c>
      <c r="E100" s="60">
        <f t="shared" si="23"/>
        <v>0</v>
      </c>
      <c r="F100" s="60">
        <f t="shared" si="23"/>
        <v>0</v>
      </c>
      <c r="G100" s="60">
        <f t="shared" si="23"/>
        <v>0</v>
      </c>
      <c r="H100" s="60">
        <f t="shared" si="23"/>
        <v>0</v>
      </c>
      <c r="I100" s="60">
        <f t="shared" si="23"/>
        <v>0</v>
      </c>
      <c r="J100" s="60">
        <f t="shared" si="23"/>
        <v>0</v>
      </c>
      <c r="K100" s="60">
        <f t="shared" si="23"/>
        <v>0</v>
      </c>
      <c r="L100" s="60">
        <f t="shared" si="23"/>
        <v>0</v>
      </c>
      <c r="M100" s="60">
        <f t="shared" si="23"/>
        <v>0</v>
      </c>
      <c r="N100" s="60">
        <f t="shared" si="23"/>
        <v>0</v>
      </c>
      <c r="O100" s="60">
        <f>O84-O99</f>
        <v>0</v>
      </c>
      <c r="P100" s="60">
        <f t="shared" si="23"/>
        <v>0</v>
      </c>
      <c r="Q100" s="60">
        <f t="shared" si="23"/>
        <v>0</v>
      </c>
      <c r="R100" s="60">
        <f t="shared" si="23"/>
        <v>0</v>
      </c>
      <c r="S100" s="60">
        <f t="shared" ref="S100:Z100" si="24">S84-S99</f>
        <v>16.5</v>
      </c>
      <c r="T100" s="60">
        <f t="shared" si="24"/>
        <v>0</v>
      </c>
      <c r="U100" s="60">
        <f t="shared" si="24"/>
        <v>0</v>
      </c>
      <c r="V100" s="60">
        <f t="shared" si="24"/>
        <v>0</v>
      </c>
      <c r="W100" s="60">
        <f t="shared" si="24"/>
        <v>0</v>
      </c>
      <c r="X100" s="60">
        <f t="shared" si="24"/>
        <v>0</v>
      </c>
      <c r="Y100" s="60">
        <f t="shared" si="24"/>
        <v>0</v>
      </c>
      <c r="Z100" s="60">
        <f t="shared" si="24"/>
        <v>0</v>
      </c>
      <c r="AA100" s="60">
        <v>7.1</v>
      </c>
      <c r="AB100" s="60">
        <f t="shared" si="23"/>
        <v>1</v>
      </c>
      <c r="AC100" s="60">
        <f t="shared" si="23"/>
        <v>2.1</v>
      </c>
      <c r="AD100" s="60">
        <f t="shared" si="23"/>
        <v>2.1</v>
      </c>
      <c r="AE100" s="60">
        <f t="shared" si="23"/>
        <v>11.2</v>
      </c>
      <c r="AF100" s="60">
        <f t="shared" si="23"/>
        <v>2</v>
      </c>
      <c r="AG100" s="87"/>
      <c r="AH100" s="47">
        <f t="shared" si="13"/>
        <v>16.5</v>
      </c>
      <c r="AI100" s="48">
        <f t="shared" si="14"/>
        <v>0</v>
      </c>
    </row>
    <row r="101" spans="1:37" x14ac:dyDescent="0.25">
      <c r="A101" s="99" t="s">
        <v>109</v>
      </c>
      <c r="B101" s="100">
        <v>49.988999999999997</v>
      </c>
      <c r="C101" s="100">
        <v>49.988999999999997</v>
      </c>
      <c r="D101" s="100">
        <v>50</v>
      </c>
      <c r="E101" s="100">
        <v>50.06</v>
      </c>
      <c r="F101" s="100">
        <v>50.029000000000003</v>
      </c>
      <c r="G101" s="100">
        <v>49.984000000000002</v>
      </c>
      <c r="H101" s="100">
        <v>50.024000000000001</v>
      </c>
      <c r="I101" s="100">
        <v>50.009</v>
      </c>
      <c r="J101" s="100">
        <v>50.024000000000001</v>
      </c>
      <c r="K101" s="100">
        <v>50.033999999999999</v>
      </c>
      <c r="L101" s="100">
        <v>49.97</v>
      </c>
      <c r="M101" s="100">
        <v>50.01</v>
      </c>
      <c r="N101" s="100">
        <v>50.033999999999999</v>
      </c>
      <c r="O101" s="100">
        <v>50.033999999999999</v>
      </c>
      <c r="P101" s="100">
        <v>49.954000000000001</v>
      </c>
      <c r="Q101" s="100">
        <v>49.973999999999997</v>
      </c>
      <c r="R101" s="100">
        <v>49.981999999999999</v>
      </c>
      <c r="S101" s="100">
        <v>49.904000000000003</v>
      </c>
      <c r="T101" s="100">
        <v>50.024000000000001</v>
      </c>
      <c r="U101" s="100">
        <v>50.024000000000001</v>
      </c>
      <c r="V101" s="100">
        <v>50.058</v>
      </c>
      <c r="W101" s="100">
        <v>49.92</v>
      </c>
      <c r="X101" s="100">
        <v>50.042000000000002</v>
      </c>
      <c r="Y101" s="100">
        <v>50.04</v>
      </c>
      <c r="Z101" s="100">
        <v>50.04</v>
      </c>
      <c r="AA101" s="100">
        <v>49.963000000000001</v>
      </c>
      <c r="AB101" s="100">
        <v>50.045000000000002</v>
      </c>
      <c r="AC101" s="100">
        <v>49.966000000000001</v>
      </c>
      <c r="AD101" s="100">
        <v>50.002000000000002</v>
      </c>
      <c r="AE101" s="100">
        <v>50.055999999999997</v>
      </c>
      <c r="AF101" s="100">
        <v>49.91</v>
      </c>
      <c r="AG101" s="101"/>
      <c r="AH101" s="47">
        <f t="shared" si="13"/>
        <v>50.06</v>
      </c>
      <c r="AI101" s="48">
        <f t="shared" si="14"/>
        <v>49.904000000000003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130.19999999999999</v>
      </c>
      <c r="E103" s="64">
        <v>131</v>
      </c>
      <c r="F103" s="64">
        <v>131.6</v>
      </c>
      <c r="G103" s="64">
        <v>131</v>
      </c>
      <c r="H103" s="64">
        <v>130.80000000000001</v>
      </c>
      <c r="I103" s="64">
        <v>128.80000000000001</v>
      </c>
      <c r="J103" s="64">
        <v>128.1</v>
      </c>
      <c r="K103" s="64">
        <v>127.5</v>
      </c>
      <c r="L103" s="64">
        <v>126.9</v>
      </c>
      <c r="M103" s="64">
        <v>124.7</v>
      </c>
      <c r="N103" s="64">
        <v>124.2</v>
      </c>
      <c r="O103" s="64">
        <v>124.2</v>
      </c>
      <c r="P103" s="64">
        <v>123.7</v>
      </c>
      <c r="Q103" s="64">
        <v>123.4</v>
      </c>
      <c r="R103" s="64">
        <v>125</v>
      </c>
      <c r="S103" s="64">
        <v>125.6</v>
      </c>
      <c r="T103" s="64">
        <v>125.1</v>
      </c>
      <c r="U103" s="64">
        <v>125.1</v>
      </c>
      <c r="V103" s="64">
        <v>126</v>
      </c>
      <c r="W103" s="64">
        <v>127.3</v>
      </c>
      <c r="X103" s="64">
        <v>127.2</v>
      </c>
      <c r="Y103" s="64">
        <v>126.1</v>
      </c>
      <c r="Z103" s="64">
        <v>126.8</v>
      </c>
      <c r="AA103" s="64">
        <v>129</v>
      </c>
      <c r="AB103" s="64">
        <v>128.5</v>
      </c>
      <c r="AC103" s="64">
        <v>127.7</v>
      </c>
      <c r="AD103" s="64">
        <v>127.4</v>
      </c>
      <c r="AE103" s="64">
        <v>129.6</v>
      </c>
      <c r="AF103" s="64">
        <v>128.69999999999999</v>
      </c>
      <c r="AG103" s="103"/>
      <c r="AH103" s="47">
        <f t="shared" si="13"/>
        <v>131.6</v>
      </c>
      <c r="AI103" s="48">
        <f t="shared" si="14"/>
        <v>123.4</v>
      </c>
    </row>
    <row r="104" spans="1:37" x14ac:dyDescent="0.25">
      <c r="A104" s="102" t="s">
        <v>112</v>
      </c>
      <c r="B104" s="64">
        <v>127.2</v>
      </c>
      <c r="C104" s="64">
        <v>127.2</v>
      </c>
      <c r="D104" s="64">
        <v>130.30000000000001</v>
      </c>
      <c r="E104" s="64">
        <v>133</v>
      </c>
      <c r="F104" s="64">
        <v>129.19999999999999</v>
      </c>
      <c r="G104" s="64">
        <v>128.9</v>
      </c>
      <c r="H104" s="64">
        <v>130.30000000000001</v>
      </c>
      <c r="I104" s="64">
        <v>130.5</v>
      </c>
      <c r="J104" s="64">
        <v>129.5</v>
      </c>
      <c r="K104" s="64">
        <v>130.1</v>
      </c>
      <c r="L104" s="64">
        <v>128</v>
      </c>
      <c r="M104" s="64">
        <v>127.4</v>
      </c>
      <c r="N104" s="64">
        <v>128.1</v>
      </c>
      <c r="O104" s="64">
        <v>128.1</v>
      </c>
      <c r="P104" s="64">
        <v>126</v>
      </c>
      <c r="Q104" s="64">
        <v>129.69999999999999</v>
      </c>
      <c r="R104" s="64">
        <v>129</v>
      </c>
      <c r="S104" s="64">
        <v>127.8</v>
      </c>
      <c r="T104" s="64">
        <v>128.5</v>
      </c>
      <c r="U104" s="64">
        <v>128.5</v>
      </c>
      <c r="V104" s="64">
        <v>130.19999999999999</v>
      </c>
      <c r="W104" s="64">
        <v>130.9</v>
      </c>
      <c r="X104" s="64">
        <v>131</v>
      </c>
      <c r="Y104" s="64">
        <v>131</v>
      </c>
      <c r="Z104" s="64">
        <v>128.1</v>
      </c>
      <c r="AA104" s="64">
        <v>127.1</v>
      </c>
      <c r="AB104" s="64">
        <v>126.9</v>
      </c>
      <c r="AC104" s="64">
        <v>127.2</v>
      </c>
      <c r="AD104" s="64">
        <v>127.9</v>
      </c>
      <c r="AE104" s="64">
        <v>127.6</v>
      </c>
      <c r="AF104" s="64">
        <v>126.5</v>
      </c>
      <c r="AG104" s="103"/>
      <c r="AH104" s="47">
        <f t="shared" si="13"/>
        <v>133</v>
      </c>
      <c r="AI104" s="48">
        <f t="shared" si="14"/>
        <v>126</v>
      </c>
    </row>
    <row r="105" spans="1:37" x14ac:dyDescent="0.25">
      <c r="A105" s="104" t="s">
        <v>113</v>
      </c>
      <c r="B105" s="64">
        <v>130</v>
      </c>
      <c r="C105" s="64">
        <v>130</v>
      </c>
      <c r="D105" s="64">
        <v>133.30000000000001</v>
      </c>
      <c r="E105" s="64">
        <v>135.5</v>
      </c>
      <c r="F105" s="64">
        <v>131.4</v>
      </c>
      <c r="G105" s="64">
        <v>131.19999999999999</v>
      </c>
      <c r="H105" s="64">
        <v>132.1</v>
      </c>
      <c r="I105" s="64">
        <v>132.1</v>
      </c>
      <c r="J105" s="64">
        <v>131.1</v>
      </c>
      <c r="K105" s="64">
        <v>131.30000000000001</v>
      </c>
      <c r="L105" s="64">
        <v>128.6</v>
      </c>
      <c r="M105" s="64">
        <v>127.5</v>
      </c>
      <c r="N105" s="64">
        <v>130.30000000000001</v>
      </c>
      <c r="O105" s="64">
        <v>130.30000000000001</v>
      </c>
      <c r="P105" s="64">
        <v>128.6</v>
      </c>
      <c r="Q105" s="64">
        <v>130.30000000000001</v>
      </c>
      <c r="R105" s="64">
        <v>129.5</v>
      </c>
      <c r="S105" s="64">
        <v>130.30000000000001</v>
      </c>
      <c r="T105" s="64">
        <v>130.69999999999999</v>
      </c>
      <c r="U105" s="64">
        <v>130.69999999999999</v>
      </c>
      <c r="V105" s="64">
        <v>131.6</v>
      </c>
      <c r="W105" s="64">
        <v>131.6</v>
      </c>
      <c r="X105" s="64">
        <v>132.30000000000001</v>
      </c>
      <c r="Y105" s="64">
        <v>132.30000000000001</v>
      </c>
      <c r="Z105" s="64">
        <v>130.19999999999999</v>
      </c>
      <c r="AA105" s="64">
        <v>129.4</v>
      </c>
      <c r="AB105" s="64">
        <v>128.30000000000001</v>
      </c>
      <c r="AC105" s="64">
        <v>128.5</v>
      </c>
      <c r="AD105" s="64">
        <v>129.5</v>
      </c>
      <c r="AE105" s="64">
        <v>130.30000000000001</v>
      </c>
      <c r="AF105" s="64">
        <v>129.69999999999999</v>
      </c>
      <c r="AG105" s="103"/>
      <c r="AH105" s="47">
        <f t="shared" si="13"/>
        <v>135.5</v>
      </c>
      <c r="AI105" s="48">
        <f t="shared" si="14"/>
        <v>127.5</v>
      </c>
    </row>
    <row r="106" spans="1:37" x14ac:dyDescent="0.25">
      <c r="A106" s="104" t="s">
        <v>114</v>
      </c>
      <c r="B106" s="105">
        <v>135.1</v>
      </c>
      <c r="C106" s="105">
        <v>135.1</v>
      </c>
      <c r="D106" s="105">
        <v>133.4</v>
      </c>
      <c r="E106" s="105">
        <v>132.6</v>
      </c>
      <c r="F106" s="105">
        <v>133.6</v>
      </c>
      <c r="G106" s="105">
        <v>133.6</v>
      </c>
      <c r="H106" s="105">
        <v>133.1</v>
      </c>
      <c r="I106" s="105">
        <v>129.69999999999999</v>
      </c>
      <c r="J106" s="105">
        <v>132.1</v>
      </c>
      <c r="K106" s="105">
        <v>133.5</v>
      </c>
      <c r="L106" s="105">
        <v>131.1</v>
      </c>
      <c r="M106" s="105">
        <v>128.6</v>
      </c>
      <c r="N106" s="105">
        <v>131.21</v>
      </c>
      <c r="O106" s="105">
        <v>131.21</v>
      </c>
      <c r="P106" s="105">
        <v>131.4</v>
      </c>
      <c r="Q106" s="105">
        <v>130.80000000000001</v>
      </c>
      <c r="R106" s="105">
        <v>132.9</v>
      </c>
      <c r="S106" s="105">
        <v>133.30000000000001</v>
      </c>
      <c r="T106" s="105">
        <v>132.69999999999999</v>
      </c>
      <c r="U106" s="105">
        <v>132.69999999999999</v>
      </c>
      <c r="V106" s="105">
        <v>121.3</v>
      </c>
      <c r="W106" s="105">
        <v>133.30000000000001</v>
      </c>
      <c r="X106" s="105">
        <v>131.69999999999999</v>
      </c>
      <c r="Y106" s="105">
        <v>131.69999999999999</v>
      </c>
      <c r="Z106" s="105">
        <v>131.4</v>
      </c>
      <c r="AA106" s="105">
        <v>131.1</v>
      </c>
      <c r="AB106" s="105">
        <v>130.4</v>
      </c>
      <c r="AC106" s="105">
        <v>129.69999999999999</v>
      </c>
      <c r="AD106" s="105">
        <v>131.4</v>
      </c>
      <c r="AE106" s="105">
        <v>135.19999999999999</v>
      </c>
      <c r="AF106" s="105">
        <v>132.19999999999999</v>
      </c>
      <c r="AG106" s="106"/>
      <c r="AH106" s="47">
        <f t="shared" si="13"/>
        <v>135.19999999999999</v>
      </c>
      <c r="AI106" s="48">
        <f t="shared" si="14"/>
        <v>121.3</v>
      </c>
    </row>
    <row r="107" spans="1:37" x14ac:dyDescent="0.25">
      <c r="A107" s="102" t="s">
        <v>115</v>
      </c>
      <c r="B107" s="64">
        <v>130</v>
      </c>
      <c r="C107" s="64">
        <v>130</v>
      </c>
      <c r="D107" s="64">
        <v>130.6</v>
      </c>
      <c r="E107" s="64">
        <v>134.30000000000001</v>
      </c>
      <c r="F107" s="64">
        <v>135</v>
      </c>
      <c r="G107" s="64">
        <v>130.69999999999999</v>
      </c>
      <c r="H107" s="64">
        <v>132.6</v>
      </c>
      <c r="I107" s="64">
        <v>135.5</v>
      </c>
      <c r="J107" s="64">
        <v>135.1</v>
      </c>
      <c r="K107" s="64">
        <v>132</v>
      </c>
      <c r="L107" s="64">
        <v>133.4</v>
      </c>
      <c r="M107" s="64">
        <v>134.5</v>
      </c>
      <c r="N107" s="64">
        <v>134.80000000000001</v>
      </c>
      <c r="O107" s="64">
        <v>134.80000000000001</v>
      </c>
      <c r="P107" s="64">
        <v>125.1</v>
      </c>
      <c r="Q107" s="64">
        <v>125.7</v>
      </c>
      <c r="R107" s="64">
        <v>134.6</v>
      </c>
      <c r="S107" s="64">
        <v>126.8</v>
      </c>
      <c r="T107" s="64">
        <v>128.30000000000001</v>
      </c>
      <c r="U107" s="64">
        <v>128.30000000000001</v>
      </c>
      <c r="V107" s="64">
        <v>126.3</v>
      </c>
      <c r="W107" s="64">
        <v>135.5</v>
      </c>
      <c r="X107" s="64">
        <v>131.5</v>
      </c>
      <c r="Y107" s="64">
        <v>131.5</v>
      </c>
      <c r="Z107" s="64">
        <v>127.6</v>
      </c>
      <c r="AA107" s="64">
        <v>123.7</v>
      </c>
      <c r="AB107" s="64">
        <v>130.4</v>
      </c>
      <c r="AC107" s="64">
        <v>123.8</v>
      </c>
      <c r="AD107" s="64">
        <v>123</v>
      </c>
      <c r="AE107" s="64">
        <v>128.80000000000001</v>
      </c>
      <c r="AF107" s="64">
        <v>129.4</v>
      </c>
      <c r="AG107" s="103"/>
      <c r="AH107" s="47">
        <f t="shared" si="13"/>
        <v>135.5</v>
      </c>
      <c r="AI107" s="48">
        <f t="shared" si="14"/>
        <v>123</v>
      </c>
    </row>
    <row r="108" spans="1:37" ht="15.75" thickBot="1" x14ac:dyDescent="0.3">
      <c r="A108" s="102" t="s">
        <v>116</v>
      </c>
      <c r="B108" s="91">
        <v>65.2</v>
      </c>
      <c r="C108" s="91">
        <v>65.2</v>
      </c>
      <c r="D108" s="91">
        <v>65.5</v>
      </c>
      <c r="E108" s="91">
        <v>65.599999999999994</v>
      </c>
      <c r="F108" s="91">
        <v>66.099999999999994</v>
      </c>
      <c r="G108" s="91">
        <v>65.7</v>
      </c>
      <c r="H108" s="91">
        <v>65.5</v>
      </c>
      <c r="I108" s="91">
        <v>64.5</v>
      </c>
      <c r="J108" s="91">
        <v>64.099999999999994</v>
      </c>
      <c r="K108" s="91">
        <v>64</v>
      </c>
      <c r="L108" s="91">
        <v>63.4</v>
      </c>
      <c r="M108" s="91">
        <v>62.5</v>
      </c>
      <c r="N108" s="91">
        <v>61.9</v>
      </c>
      <c r="O108" s="91">
        <v>61.9</v>
      </c>
      <c r="P108" s="91">
        <v>61.1</v>
      </c>
      <c r="Q108" s="91">
        <v>61.7</v>
      </c>
      <c r="R108" s="91">
        <v>62.5</v>
      </c>
      <c r="S108" s="91">
        <v>62.8</v>
      </c>
      <c r="T108" s="91">
        <v>62.8</v>
      </c>
      <c r="U108" s="91">
        <v>62.8</v>
      </c>
      <c r="V108" s="91">
        <v>62.6</v>
      </c>
      <c r="W108" s="91">
        <v>62.6</v>
      </c>
      <c r="X108" s="91">
        <v>62.6</v>
      </c>
      <c r="Y108" s="91">
        <v>62.6</v>
      </c>
      <c r="Z108" s="91">
        <v>62.6</v>
      </c>
      <c r="AA108" s="91">
        <v>64.5</v>
      </c>
      <c r="AB108" s="91">
        <v>64.599999999999994</v>
      </c>
      <c r="AC108" s="91">
        <v>64.3</v>
      </c>
      <c r="AD108" s="91">
        <v>64.099999999999994</v>
      </c>
      <c r="AE108" s="91">
        <v>65.2</v>
      </c>
      <c r="AF108" s="91">
        <v>64.599999999999994</v>
      </c>
      <c r="AG108" s="107"/>
      <c r="AH108" s="47">
        <f t="shared" si="13"/>
        <v>66.099999999999994</v>
      </c>
      <c r="AI108" s="48">
        <f t="shared" si="14"/>
        <v>61.1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 t="s">
        <v>264</v>
      </c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N110" si="25">SUM(B20,B26,B29:B30,B58,B60:B61,B63,B65,B111:B115,B138,B144,B150,B159,B161,B173,B180,B183:B184,B191,B193,B195,B199:B201,B203:B205,B210,B216:B217,B219:B221,B229,B234)</f>
        <v>59.6</v>
      </c>
      <c r="C110" s="110">
        <f t="shared" si="25"/>
        <v>60.54</v>
      </c>
      <c r="D110" s="110">
        <f t="shared" si="25"/>
        <v>61.44</v>
      </c>
      <c r="E110" s="110">
        <f t="shared" si="25"/>
        <v>64.64</v>
      </c>
      <c r="F110" s="110">
        <f t="shared" si="25"/>
        <v>64.84</v>
      </c>
      <c r="G110" s="110">
        <f t="shared" si="25"/>
        <v>79.139999999999986</v>
      </c>
      <c r="H110" s="110">
        <f t="shared" si="25"/>
        <v>98.539999999999992</v>
      </c>
      <c r="I110" s="110">
        <f t="shared" si="25"/>
        <v>107.74000000000001</v>
      </c>
      <c r="J110" s="110">
        <f t="shared" si="25"/>
        <v>150.43999999999997</v>
      </c>
      <c r="K110" s="110">
        <f t="shared" si="25"/>
        <v>249.24</v>
      </c>
      <c r="L110" s="110">
        <f t="shared" si="25"/>
        <v>215.94</v>
      </c>
      <c r="M110" s="110">
        <f t="shared" si="25"/>
        <v>215.93999999999997</v>
      </c>
      <c r="N110" s="110">
        <f t="shared" si="25"/>
        <v>218.34</v>
      </c>
      <c r="O110" s="110">
        <f>SUM(O20,O26,O29:O30,O58,O60:O61,O63,O65,O111:O115,O138,O144,O150,O159,O161,O173,O180,O183:O184,O191,O193,O195,O199:O201,O203:O205,O210,O216:O217,O219:O221,O229,O234)</f>
        <v>218.34</v>
      </c>
      <c r="P110" s="110">
        <v>42</v>
      </c>
      <c r="Q110" s="110">
        <f t="shared" ref="Q110:Z110" si="26">SUM(Q20,Q26,Q29:Q30,Q58,Q60:Q61,Q63,Q65,Q111:Q115,Q138,Q144,Q150,Q159,Q161,Q173,Q180,Q183:Q184,Q191,Q193,Q195,Q199:Q201,Q203:Q205,Q210,Q216:Q217,Q219:Q221,Q229,Q234)</f>
        <v>223.60000000000002</v>
      </c>
      <c r="R110" s="110">
        <f t="shared" si="26"/>
        <v>227</v>
      </c>
      <c r="S110" s="110">
        <f t="shared" si="26"/>
        <v>237.7</v>
      </c>
      <c r="T110" s="110">
        <f t="shared" si="26"/>
        <v>246.9</v>
      </c>
      <c r="U110" s="110">
        <f t="shared" si="26"/>
        <v>244.50000000000003</v>
      </c>
      <c r="V110" s="110">
        <f t="shared" si="26"/>
        <v>225.20000000000002</v>
      </c>
      <c r="W110" s="110">
        <f t="shared" si="26"/>
        <v>219.40000000000003</v>
      </c>
      <c r="X110" s="110">
        <f t="shared" si="26"/>
        <v>229.9</v>
      </c>
      <c r="Y110" s="110">
        <f t="shared" si="26"/>
        <v>236.10000000000002</v>
      </c>
      <c r="Z110" s="110">
        <f t="shared" si="26"/>
        <v>248.59999999999997</v>
      </c>
      <c r="AA110" s="110">
        <v>299.34000000000003</v>
      </c>
      <c r="AB110" s="110">
        <f>SUM(AB20,AB26,AB29:AB30,AB58,AB60:AB61,AB63,AB65,AB111:AB115,AB138,AB144,AB150,AB159,AB161,AB173,AB180,AB183:AB184,AB191,AB193,AB195,AB199:AB201,AB203:AB205,AB210,AB216:AB217,AB219:AB221,AB229,AB234)</f>
        <v>215.60000000000002</v>
      </c>
      <c r="AC110" s="110">
        <f>SUM(AC20,AC26,AC29:AC30,AC58,AC60:AC61,AC63,AC65,AC111:AC115,AC138,AC144,AC150,AC159,AC161,AC173,AC180,AC183:AC184,AC191,AC193,AC195,AC199:AC201,AC203:AC205,AC210,AC216:AC217,AC219:AC221,AC229,AC234)</f>
        <v>208.1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126.4</v>
      </c>
      <c r="AF110" s="110">
        <f>SUM(AF20,AF26,AF29:AF30,AF58,AF60:AF61,AF63,AF65,AF111:AF115,AF138,AF144,AF150,AF159,AF161,AF173,AF180,AF183:AF184,AF191,AF193,AF195,AF199:AF201,AF203:AF205,AF210,AF216:AF217,AF219:AF221,AF229,AF234)</f>
        <v>77.599999999999994</v>
      </c>
      <c r="AG110" s="111"/>
      <c r="AH110" s="47">
        <f t="shared" si="13"/>
        <v>299.34000000000003</v>
      </c>
      <c r="AI110" s="48">
        <f t="shared" si="14"/>
        <v>42</v>
      </c>
    </row>
    <row r="111" spans="1:37" x14ac:dyDescent="0.25">
      <c r="A111" s="99" t="s">
        <v>119</v>
      </c>
      <c r="B111" s="112">
        <v>14.6</v>
      </c>
      <c r="C111" s="112">
        <v>14.6</v>
      </c>
      <c r="D111" s="112">
        <v>14.1</v>
      </c>
      <c r="E111" s="112">
        <v>17.3</v>
      </c>
      <c r="F111" s="112">
        <v>16.899999999999999</v>
      </c>
      <c r="G111" s="112">
        <v>21.8</v>
      </c>
      <c r="H111" s="112">
        <v>21.2</v>
      </c>
      <c r="I111" s="112">
        <v>29.1</v>
      </c>
      <c r="J111" s="112">
        <v>34.799999999999997</v>
      </c>
      <c r="K111" s="112">
        <v>46.1</v>
      </c>
      <c r="L111" s="112">
        <v>39.9</v>
      </c>
      <c r="M111" s="112">
        <v>41</v>
      </c>
      <c r="N111" s="112">
        <v>36.6</v>
      </c>
      <c r="O111" s="112">
        <v>36.6</v>
      </c>
      <c r="P111" s="112">
        <v>47.7</v>
      </c>
      <c r="Q111" s="112">
        <v>49.7</v>
      </c>
      <c r="R111" s="112">
        <v>53</v>
      </c>
      <c r="S111" s="112">
        <v>48.6</v>
      </c>
      <c r="T111" s="112">
        <v>49.6</v>
      </c>
      <c r="U111" s="112">
        <v>49.6</v>
      </c>
      <c r="V111" s="112">
        <v>31.3</v>
      </c>
      <c r="W111" s="112">
        <v>36.1</v>
      </c>
      <c r="X111" s="112">
        <v>42.7</v>
      </c>
      <c r="Y111" s="112">
        <v>47.3</v>
      </c>
      <c r="Z111" s="112">
        <v>53.2</v>
      </c>
      <c r="AA111" s="112">
        <v>46.6</v>
      </c>
      <c r="AB111" s="112">
        <v>45.4</v>
      </c>
      <c r="AC111" s="112">
        <v>46.1</v>
      </c>
      <c r="AD111" s="112">
        <v>45.4</v>
      </c>
      <c r="AE111" s="112">
        <v>35.1</v>
      </c>
      <c r="AF111" s="112">
        <v>26.1</v>
      </c>
      <c r="AG111" s="113">
        <v>75</v>
      </c>
      <c r="AH111" s="47">
        <f t="shared" si="13"/>
        <v>53.2</v>
      </c>
      <c r="AI111" s="48">
        <f t="shared" si="14"/>
        <v>14.1</v>
      </c>
    </row>
    <row r="112" spans="1:37" x14ac:dyDescent="0.25">
      <c r="A112" s="102" t="s">
        <v>120</v>
      </c>
      <c r="B112" s="114">
        <v>27.6</v>
      </c>
      <c r="C112" s="114">
        <v>27.6</v>
      </c>
      <c r="D112" s="114">
        <v>27.1</v>
      </c>
      <c r="E112" s="114">
        <v>29.9</v>
      </c>
      <c r="F112" s="114">
        <v>29.8</v>
      </c>
      <c r="G112" s="114">
        <v>35.6</v>
      </c>
      <c r="H112" s="114">
        <v>34.4</v>
      </c>
      <c r="I112" s="114">
        <v>44.5</v>
      </c>
      <c r="J112" s="114">
        <v>50.5</v>
      </c>
      <c r="K112" s="114">
        <v>63</v>
      </c>
      <c r="L112" s="114">
        <v>48.1</v>
      </c>
      <c r="M112" s="114">
        <v>51.2</v>
      </c>
      <c r="N112" s="114">
        <v>45.8</v>
      </c>
      <c r="O112" s="114">
        <v>45.8</v>
      </c>
      <c r="P112" s="114">
        <v>60.3</v>
      </c>
      <c r="Q112" s="114">
        <v>64.900000000000006</v>
      </c>
      <c r="R112" s="114">
        <v>69.3</v>
      </c>
      <c r="S112" s="114">
        <v>62.4</v>
      </c>
      <c r="T112" s="114">
        <v>64.2</v>
      </c>
      <c r="U112" s="114">
        <v>64.2</v>
      </c>
      <c r="V112" s="114">
        <v>39.299999999999997</v>
      </c>
      <c r="W112" s="114">
        <v>48.3</v>
      </c>
      <c r="X112" s="114">
        <v>56.1</v>
      </c>
      <c r="Y112" s="114">
        <v>60.3</v>
      </c>
      <c r="Z112" s="114">
        <v>72.7</v>
      </c>
      <c r="AA112" s="114">
        <v>65.099999999999994</v>
      </c>
      <c r="AB112" s="114">
        <v>65.099999999999994</v>
      </c>
      <c r="AC112" s="114">
        <v>66.599999999999994</v>
      </c>
      <c r="AD112" s="114">
        <v>65.7</v>
      </c>
      <c r="AE112" s="114">
        <v>50.1</v>
      </c>
      <c r="AF112" s="114">
        <v>38.200000000000003</v>
      </c>
      <c r="AG112" s="113">
        <v>240</v>
      </c>
      <c r="AH112" s="47">
        <f t="shared" si="13"/>
        <v>72.7</v>
      </c>
      <c r="AI112" s="48">
        <f t="shared" si="14"/>
        <v>27.1</v>
      </c>
    </row>
    <row r="113" spans="1:37" x14ac:dyDescent="0.25">
      <c r="A113" s="102" t="s">
        <v>121</v>
      </c>
      <c r="B113" s="114">
        <v>-143</v>
      </c>
      <c r="C113" s="114">
        <v>-143</v>
      </c>
      <c r="D113" s="114">
        <v>-140</v>
      </c>
      <c r="E113" s="114">
        <f>-65.7-68.9</f>
        <v>-134.60000000000002</v>
      </c>
      <c r="F113" s="114">
        <f>-62.1-65.3</f>
        <v>-127.4</v>
      </c>
      <c r="G113" s="114">
        <f>-60.2-63.8</f>
        <v>-124</v>
      </c>
      <c r="H113" s="114">
        <f>-55.2-58.6</f>
        <v>-113.80000000000001</v>
      </c>
      <c r="I113" s="114">
        <f>-60-62.4</f>
        <v>-122.4</v>
      </c>
      <c r="J113" s="114">
        <f>-52.4-57.5</f>
        <v>-109.9</v>
      </c>
      <c r="K113" s="114">
        <v>-54.3</v>
      </c>
      <c r="L113" s="114">
        <f>-27.1-28.7</f>
        <v>-55.8</v>
      </c>
      <c r="M113" s="114">
        <v>-58</v>
      </c>
      <c r="N113" s="114">
        <v>-50</v>
      </c>
      <c r="O113" s="114">
        <v>-50</v>
      </c>
      <c r="P113" s="114">
        <v>-52.5</v>
      </c>
      <c r="Q113" s="114">
        <v>-52</v>
      </c>
      <c r="R113" s="114">
        <v>-54.8</v>
      </c>
      <c r="S113" s="114">
        <v>-53.6</v>
      </c>
      <c r="T113" s="114">
        <v>-49.5</v>
      </c>
      <c r="U113" s="114">
        <v>-49.5</v>
      </c>
      <c r="V113" s="114">
        <v>-55.8</v>
      </c>
      <c r="W113" s="114">
        <v>-72</v>
      </c>
      <c r="X113" s="114">
        <v>-69.099999999999994</v>
      </c>
      <c r="Y113" s="114">
        <v>-49.1</v>
      </c>
      <c r="Z113" s="114">
        <v>-62.5</v>
      </c>
      <c r="AA113" s="114">
        <v>-69.5</v>
      </c>
      <c r="AB113" s="114">
        <v>-108</v>
      </c>
      <c r="AC113" s="114">
        <v>-115</v>
      </c>
      <c r="AD113" s="114">
        <v>-117</v>
      </c>
      <c r="AE113" s="114">
        <v>-116</v>
      </c>
      <c r="AF113" s="114">
        <v>-131</v>
      </c>
      <c r="AG113" s="113">
        <v>240</v>
      </c>
      <c r="AH113" s="47">
        <f t="shared" si="13"/>
        <v>-49.1</v>
      </c>
      <c r="AI113" s="48">
        <f t="shared" si="14"/>
        <v>-143</v>
      </c>
    </row>
    <row r="114" spans="1:37" x14ac:dyDescent="0.25">
      <c r="A114" s="102" t="s">
        <v>122</v>
      </c>
      <c r="B114" s="114">
        <v>-4</v>
      </c>
      <c r="C114" s="114">
        <v>-4</v>
      </c>
      <c r="D114" s="114">
        <v>-5</v>
      </c>
      <c r="E114" s="114">
        <v>-4.0999999999999996</v>
      </c>
      <c r="F114" s="114">
        <v>-1.2</v>
      </c>
      <c r="G114" s="114">
        <v>-0.7</v>
      </c>
      <c r="H114" s="114">
        <v>1.9</v>
      </c>
      <c r="I114" s="114">
        <v>1.8</v>
      </c>
      <c r="J114" s="114">
        <v>7.2</v>
      </c>
      <c r="K114" s="114">
        <v>8.3000000000000007</v>
      </c>
      <c r="L114" s="114">
        <v>15.2</v>
      </c>
      <c r="M114" s="114">
        <v>14.7</v>
      </c>
      <c r="N114" s="114">
        <v>12.9</v>
      </c>
      <c r="O114" s="114">
        <v>12.9</v>
      </c>
      <c r="P114" s="114">
        <v>17.8</v>
      </c>
      <c r="Q114" s="114">
        <v>16.600000000000001</v>
      </c>
      <c r="R114" s="114">
        <v>15.5</v>
      </c>
      <c r="S114" s="114">
        <v>16.600000000000001</v>
      </c>
      <c r="T114" s="114">
        <v>14.8</v>
      </c>
      <c r="U114" s="114">
        <v>14.8</v>
      </c>
      <c r="V114" s="114">
        <v>13.3</v>
      </c>
      <c r="W114" s="114">
        <v>13</v>
      </c>
      <c r="X114" s="114">
        <v>13.4</v>
      </c>
      <c r="Y114" s="114">
        <v>16.399999999999999</v>
      </c>
      <c r="Z114" s="114">
        <v>17.100000000000001</v>
      </c>
      <c r="AA114" s="114">
        <v>30.2</v>
      </c>
      <c r="AB114" s="114">
        <v>16</v>
      </c>
      <c r="AC114" s="114">
        <v>5.7</v>
      </c>
      <c r="AD114" s="114">
        <v>5</v>
      </c>
      <c r="AE114" s="114">
        <v>-1.9</v>
      </c>
      <c r="AF114" s="114">
        <v>-7.8</v>
      </c>
      <c r="AG114" s="113">
        <v>60</v>
      </c>
      <c r="AH114" s="47">
        <f t="shared" si="13"/>
        <v>30.2</v>
      </c>
      <c r="AI114" s="48">
        <f t="shared" si="14"/>
        <v>-7.8</v>
      </c>
    </row>
    <row r="115" spans="1:37" x14ac:dyDescent="0.25">
      <c r="A115" s="115" t="s">
        <v>123</v>
      </c>
      <c r="B115" s="116">
        <v>34.6</v>
      </c>
      <c r="C115" s="116">
        <v>34.6</v>
      </c>
      <c r="D115" s="116">
        <v>35</v>
      </c>
      <c r="E115" s="116">
        <v>25.9</v>
      </c>
      <c r="F115" s="116">
        <v>25.6</v>
      </c>
      <c r="G115" s="116">
        <v>25.3</v>
      </c>
      <c r="H115" s="116">
        <v>25</v>
      </c>
      <c r="I115" s="116">
        <v>24.7</v>
      </c>
      <c r="J115" s="116">
        <v>24.3</v>
      </c>
      <c r="K115" s="116">
        <v>37</v>
      </c>
      <c r="L115" s="116">
        <v>25.5</v>
      </c>
      <c r="M115" s="116">
        <v>27.6</v>
      </c>
      <c r="N115" s="116">
        <v>25.5</v>
      </c>
      <c r="O115" s="116">
        <v>25.5</v>
      </c>
      <c r="P115" s="116">
        <v>26.7</v>
      </c>
      <c r="Q115" s="116">
        <v>27.4</v>
      </c>
      <c r="R115" s="116">
        <v>27.2</v>
      </c>
      <c r="S115" s="116">
        <v>27.5</v>
      </c>
      <c r="T115" s="116">
        <v>27.6</v>
      </c>
      <c r="U115" s="116">
        <v>27.6</v>
      </c>
      <c r="V115" s="116">
        <v>94.6</v>
      </c>
      <c r="W115" s="116">
        <v>80.3</v>
      </c>
      <c r="X115" s="116">
        <v>73.099999999999994</v>
      </c>
      <c r="Y115" s="116">
        <v>47.5</v>
      </c>
      <c r="Z115" s="116">
        <v>54.1</v>
      </c>
      <c r="AA115" s="116">
        <v>38.799999999999997</v>
      </c>
      <c r="AB115" s="116">
        <v>61.8</v>
      </c>
      <c r="AC115" s="116">
        <v>65</v>
      </c>
      <c r="AD115" s="116">
        <v>46.9</v>
      </c>
      <c r="AE115" s="116">
        <v>35.4</v>
      </c>
      <c r="AF115" s="116">
        <v>28.4</v>
      </c>
      <c r="AG115" s="117">
        <v>120</v>
      </c>
      <c r="AH115" s="47">
        <f t="shared" si="13"/>
        <v>94.6</v>
      </c>
      <c r="AI115" s="48">
        <f t="shared" si="14"/>
        <v>24.3</v>
      </c>
    </row>
    <row r="116" spans="1:37" x14ac:dyDescent="0.25">
      <c r="A116" s="115" t="s">
        <v>124</v>
      </c>
      <c r="B116" s="116">
        <v>26</v>
      </c>
      <c r="C116" s="116">
        <v>26</v>
      </c>
      <c r="D116" s="116">
        <v>25</v>
      </c>
      <c r="E116" s="116">
        <v>22.2</v>
      </c>
      <c r="F116" s="116">
        <v>20.2</v>
      </c>
      <c r="G116" s="116">
        <v>16.899999999999999</v>
      </c>
      <c r="H116" s="116">
        <v>21.3</v>
      </c>
      <c r="I116" s="116">
        <v>13.8</v>
      </c>
      <c r="J116" s="116">
        <v>8.8000000000000007</v>
      </c>
      <c r="K116" s="116">
        <v>3.2</v>
      </c>
      <c r="L116" s="116">
        <v>50.7</v>
      </c>
      <c r="M116" s="116">
        <v>57.1</v>
      </c>
      <c r="N116" s="116">
        <v>82.2</v>
      </c>
      <c r="O116" s="116">
        <v>82.2</v>
      </c>
      <c r="P116" s="116">
        <v>82</v>
      </c>
      <c r="Q116" s="116">
        <v>78.3</v>
      </c>
      <c r="R116" s="116">
        <v>68.3</v>
      </c>
      <c r="S116" s="116">
        <v>81.400000000000006</v>
      </c>
      <c r="T116" s="116">
        <v>90.5</v>
      </c>
      <c r="U116" s="116">
        <v>90.5</v>
      </c>
      <c r="V116" s="116">
        <v>70.5</v>
      </c>
      <c r="W116" s="116">
        <v>46.5</v>
      </c>
      <c r="X116" s="116">
        <v>37.299999999999997</v>
      </c>
      <c r="Y116" s="116">
        <v>63.2</v>
      </c>
      <c r="Z116" s="116">
        <v>56.6</v>
      </c>
      <c r="AA116" s="116">
        <v>56.1</v>
      </c>
      <c r="AB116" s="116">
        <v>34.9</v>
      </c>
      <c r="AC116" s="116">
        <v>32</v>
      </c>
      <c r="AD116" s="116">
        <v>37.9</v>
      </c>
      <c r="AE116" s="116">
        <v>45.8</v>
      </c>
      <c r="AF116" s="116">
        <v>43</v>
      </c>
      <c r="AG116" s="117"/>
      <c r="AH116" s="47">
        <f t="shared" si="13"/>
        <v>90.5</v>
      </c>
      <c r="AI116" s="48">
        <f t="shared" si="14"/>
        <v>3.2</v>
      </c>
    </row>
    <row r="117" spans="1:37" x14ac:dyDescent="0.25">
      <c r="A117" s="115" t="s">
        <v>125</v>
      </c>
      <c r="B117" s="116">
        <v>-6.7</v>
      </c>
      <c r="C117" s="116">
        <v>-6.7</v>
      </c>
      <c r="D117" s="116">
        <v>-11.2</v>
      </c>
      <c r="E117" s="116"/>
      <c r="F117" s="116">
        <v>-19.600000000000001</v>
      </c>
      <c r="G117" s="116">
        <v>-32.4</v>
      </c>
      <c r="H117" s="116">
        <v>-27.2</v>
      </c>
      <c r="I117" s="116"/>
      <c r="J117" s="116">
        <v>-42.2</v>
      </c>
      <c r="K117" s="116">
        <v>-44.3</v>
      </c>
      <c r="L117" s="116"/>
      <c r="M117" s="116">
        <v>-42.4</v>
      </c>
      <c r="N117" s="116">
        <v>-16.8</v>
      </c>
      <c r="O117" s="116">
        <v>-16.8</v>
      </c>
      <c r="P117" s="116">
        <v>-46.9</v>
      </c>
      <c r="Q117" s="116"/>
      <c r="R117" s="116">
        <v>39.700000000000003</v>
      </c>
      <c r="S117" s="116">
        <v>-26.3</v>
      </c>
      <c r="T117" s="116"/>
      <c r="U117" s="116"/>
      <c r="V117" s="116">
        <v>0</v>
      </c>
      <c r="W117" s="116">
        <v>-17.7</v>
      </c>
      <c r="X117" s="116">
        <v>-29.8</v>
      </c>
      <c r="Y117" s="116"/>
      <c r="Z117" s="116"/>
      <c r="AA117" s="116">
        <v>-8.4</v>
      </c>
      <c r="AB117" s="116">
        <v>-7</v>
      </c>
      <c r="AC117" s="116">
        <v>-13.8</v>
      </c>
      <c r="AD117" s="116">
        <v>17.399999999999999</v>
      </c>
      <c r="AE117" s="116">
        <v>-7.6</v>
      </c>
      <c r="AF117" s="116">
        <v>-8.6</v>
      </c>
      <c r="AG117" s="118"/>
      <c r="AH117" s="47">
        <f t="shared" si="13"/>
        <v>39.700000000000003</v>
      </c>
      <c r="AI117" s="48">
        <f t="shared" si="14"/>
        <v>-46.9</v>
      </c>
    </row>
    <row r="118" spans="1:37" x14ac:dyDescent="0.25">
      <c r="A118" s="119" t="s">
        <v>126</v>
      </c>
      <c r="B118" s="105">
        <v>25.2</v>
      </c>
      <c r="C118" s="105">
        <v>25.2</v>
      </c>
      <c r="D118" s="105">
        <v>28.3</v>
      </c>
      <c r="E118" s="105">
        <v>30.2</v>
      </c>
      <c r="F118" s="105">
        <v>36.299999999999997</v>
      </c>
      <c r="G118" s="105">
        <v>25.8</v>
      </c>
      <c r="H118" s="105">
        <v>29.2</v>
      </c>
      <c r="I118" s="105">
        <v>30.2</v>
      </c>
      <c r="J118" s="105">
        <v>31.1</v>
      </c>
      <c r="K118" s="105">
        <v>31</v>
      </c>
      <c r="L118" s="105">
        <v>26.5</v>
      </c>
      <c r="M118" s="105">
        <v>37.4</v>
      </c>
      <c r="N118" s="105">
        <v>35.9</v>
      </c>
      <c r="O118" s="105">
        <v>35.9</v>
      </c>
      <c r="P118" s="105">
        <v>27</v>
      </c>
      <c r="Q118" s="105">
        <v>25.7</v>
      </c>
      <c r="R118" s="105">
        <v>27.9</v>
      </c>
      <c r="S118" s="105">
        <v>34.5</v>
      </c>
      <c r="T118" s="105">
        <v>28.6</v>
      </c>
      <c r="U118" s="105">
        <v>28.6</v>
      </c>
      <c r="V118" s="105">
        <v>26.6</v>
      </c>
      <c r="W118" s="105">
        <v>18.8</v>
      </c>
      <c r="X118" s="105">
        <v>25.1</v>
      </c>
      <c r="Y118" s="105">
        <v>10.6</v>
      </c>
      <c r="Z118" s="105">
        <v>7.6</v>
      </c>
      <c r="AA118" s="105">
        <v>3.9</v>
      </c>
      <c r="AB118" s="105">
        <v>7.8</v>
      </c>
      <c r="AC118" s="105">
        <v>9.4</v>
      </c>
      <c r="AD118" s="105">
        <v>12.2</v>
      </c>
      <c r="AE118" s="105">
        <v>18.3</v>
      </c>
      <c r="AF118" s="105">
        <v>22.9</v>
      </c>
      <c r="AG118" s="118"/>
      <c r="AH118" s="47">
        <f t="shared" si="13"/>
        <v>37.4</v>
      </c>
      <c r="AI118" s="48">
        <f t="shared" si="14"/>
        <v>3.9</v>
      </c>
    </row>
    <row r="119" spans="1:37" x14ac:dyDescent="0.25">
      <c r="A119" s="120" t="s">
        <v>127</v>
      </c>
      <c r="B119" s="105">
        <v>91</v>
      </c>
      <c r="C119" s="105">
        <v>91</v>
      </c>
      <c r="D119" s="105">
        <v>95</v>
      </c>
      <c r="E119" s="105">
        <v>91.7</v>
      </c>
      <c r="F119" s="105">
        <v>88.7</v>
      </c>
      <c r="G119" s="105">
        <v>93.7</v>
      </c>
      <c r="H119" s="105">
        <v>83</v>
      </c>
      <c r="I119" s="105">
        <v>94.5</v>
      </c>
      <c r="J119" s="105">
        <v>93.8</v>
      </c>
      <c r="K119" s="105">
        <v>97.4</v>
      </c>
      <c r="L119" s="105">
        <v>95.1</v>
      </c>
      <c r="M119" s="105">
        <v>90.3</v>
      </c>
      <c r="N119" s="105">
        <v>63.2</v>
      </c>
      <c r="O119" s="105">
        <v>63.2</v>
      </c>
      <c r="P119" s="105">
        <v>98.7</v>
      </c>
      <c r="Q119" s="105">
        <v>93.4</v>
      </c>
      <c r="R119" s="105">
        <v>99</v>
      </c>
      <c r="S119" s="105">
        <v>80.5</v>
      </c>
      <c r="T119" s="105">
        <v>76.599999999999994</v>
      </c>
      <c r="U119" s="105">
        <v>76.599999999999994</v>
      </c>
      <c r="V119" s="105">
        <v>71</v>
      </c>
      <c r="W119" s="105">
        <v>51.6</v>
      </c>
      <c r="X119" s="105">
        <v>57.4</v>
      </c>
      <c r="Y119" s="105">
        <v>45.2</v>
      </c>
      <c r="Z119" s="105">
        <v>46.5</v>
      </c>
      <c r="AA119" s="105">
        <v>56.3</v>
      </c>
      <c r="AB119" s="105">
        <v>82.4</v>
      </c>
      <c r="AC119" s="105">
        <v>81.400000000000006</v>
      </c>
      <c r="AD119" s="105">
        <v>93</v>
      </c>
      <c r="AE119" s="105">
        <v>82.8</v>
      </c>
      <c r="AF119" s="105">
        <v>86.7</v>
      </c>
      <c r="AG119" s="118"/>
      <c r="AH119" s="47">
        <f t="shared" si="13"/>
        <v>99</v>
      </c>
      <c r="AI119" s="48">
        <f t="shared" si="14"/>
        <v>45.2</v>
      </c>
    </row>
    <row r="120" spans="1:37" ht="15.75" thickBot="1" x14ac:dyDescent="0.3">
      <c r="A120" s="119" t="s">
        <v>128</v>
      </c>
      <c r="B120" s="105">
        <v>98</v>
      </c>
      <c r="C120" s="105">
        <v>98</v>
      </c>
      <c r="D120" s="105">
        <v>33.299999999999997</v>
      </c>
      <c r="E120" s="105">
        <v>24.7</v>
      </c>
      <c r="F120" s="105">
        <v>26.1</v>
      </c>
      <c r="G120" s="105">
        <v>30.4</v>
      </c>
      <c r="H120" s="105">
        <v>17.7</v>
      </c>
      <c r="I120" s="105">
        <v>9.5</v>
      </c>
      <c r="J120" s="105">
        <v>12.6</v>
      </c>
      <c r="K120" s="105">
        <v>11.1</v>
      </c>
      <c r="L120" s="105">
        <v>9.6</v>
      </c>
      <c r="M120" s="105">
        <v>14.5</v>
      </c>
      <c r="N120" s="105">
        <v>21.4</v>
      </c>
      <c r="O120" s="105">
        <v>21.4</v>
      </c>
      <c r="P120" s="105">
        <v>37.5</v>
      </c>
      <c r="Q120" s="105">
        <v>35.200000000000003</v>
      </c>
      <c r="R120" s="105">
        <v>34.6</v>
      </c>
      <c r="S120" s="105">
        <v>34.299999999999997</v>
      </c>
      <c r="T120" s="105">
        <v>90.3</v>
      </c>
      <c r="U120" s="105">
        <v>90.3</v>
      </c>
      <c r="V120" s="105">
        <v>30.4</v>
      </c>
      <c r="W120" s="105">
        <v>29.7</v>
      </c>
      <c r="X120" s="105">
        <v>21</v>
      </c>
      <c r="Y120" s="105">
        <v>64.3</v>
      </c>
      <c r="Z120" s="105">
        <v>47.9</v>
      </c>
      <c r="AA120" s="105">
        <v>49.9</v>
      </c>
      <c r="AB120" s="105">
        <v>54.3</v>
      </c>
      <c r="AC120" s="105">
        <v>53.2</v>
      </c>
      <c r="AD120" s="105">
        <v>50.5</v>
      </c>
      <c r="AE120" s="105">
        <v>49.3</v>
      </c>
      <c r="AF120" s="105">
        <v>48.4</v>
      </c>
      <c r="AG120" s="118"/>
      <c r="AH120" s="47">
        <f t="shared" si="13"/>
        <v>98</v>
      </c>
      <c r="AI120" s="48">
        <f t="shared" si="14"/>
        <v>9.5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7">SUM(B122:B226)</f>
        <v>0</v>
      </c>
      <c r="C227" s="136">
        <f t="shared" si="27"/>
        <v>0</v>
      </c>
      <c r="D227" s="136">
        <f t="shared" si="27"/>
        <v>0</v>
      </c>
      <c r="E227" s="136">
        <f t="shared" si="27"/>
        <v>0</v>
      </c>
      <c r="F227" s="136">
        <f t="shared" si="27"/>
        <v>0</v>
      </c>
      <c r="G227" s="136">
        <f t="shared" si="27"/>
        <v>0</v>
      </c>
      <c r="H227" s="136">
        <f t="shared" si="27"/>
        <v>0</v>
      </c>
      <c r="I227" s="136">
        <f t="shared" si="27"/>
        <v>0</v>
      </c>
      <c r="J227" s="136">
        <f t="shared" si="27"/>
        <v>0</v>
      </c>
      <c r="K227" s="136">
        <f t="shared" si="27"/>
        <v>0</v>
      </c>
      <c r="L227" s="136">
        <f t="shared" si="27"/>
        <v>0</v>
      </c>
      <c r="M227" s="136">
        <f t="shared" si="27"/>
        <v>0</v>
      </c>
      <c r="N227" s="136">
        <f t="shared" si="27"/>
        <v>0</v>
      </c>
      <c r="O227" s="136">
        <f t="shared" si="27"/>
        <v>0</v>
      </c>
      <c r="P227" s="136">
        <f t="shared" si="27"/>
        <v>0</v>
      </c>
      <c r="Q227" s="136">
        <f t="shared" si="27"/>
        <v>0</v>
      </c>
      <c r="R227" s="136">
        <f t="shared" si="27"/>
        <v>0</v>
      </c>
      <c r="S227" s="136">
        <f t="shared" si="27"/>
        <v>0</v>
      </c>
      <c r="T227" s="136">
        <f t="shared" si="27"/>
        <v>0</v>
      </c>
      <c r="U227" s="136">
        <f t="shared" si="27"/>
        <v>0</v>
      </c>
      <c r="V227" s="136">
        <f t="shared" si="27"/>
        <v>0</v>
      </c>
      <c r="W227" s="136">
        <f t="shared" si="27"/>
        <v>0</v>
      </c>
      <c r="X227" s="136">
        <f t="shared" si="27"/>
        <v>0</v>
      </c>
      <c r="Y227" s="136">
        <f t="shared" si="27"/>
        <v>0</v>
      </c>
      <c r="Z227" s="136">
        <f t="shared" si="27"/>
        <v>0</v>
      </c>
      <c r="AA227" s="136">
        <f t="shared" si="27"/>
        <v>0</v>
      </c>
      <c r="AB227" s="136">
        <f t="shared" si="27"/>
        <v>0</v>
      </c>
      <c r="AC227" s="136">
        <f t="shared" si="27"/>
        <v>0</v>
      </c>
      <c r="AD227" s="136">
        <f t="shared" si="27"/>
        <v>0</v>
      </c>
      <c r="AE227" s="136">
        <f t="shared" si="27"/>
        <v>0</v>
      </c>
      <c r="AF227" s="137">
        <f t="shared" si="27"/>
        <v>0</v>
      </c>
      <c r="AG227" s="138">
        <f t="shared" si="2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8">AF229</f>
        <v>0</v>
      </c>
      <c r="C229" s="140">
        <v>0.3</v>
      </c>
      <c r="D229" s="140">
        <f t="shared" ref="D229:P234" si="29">C229</f>
        <v>0.3</v>
      </c>
      <c r="E229" s="140">
        <f t="shared" si="29"/>
        <v>0.3</v>
      </c>
      <c r="F229" s="140">
        <f t="shared" si="29"/>
        <v>0.3</v>
      </c>
      <c r="G229" s="140">
        <f t="shared" si="29"/>
        <v>0.3</v>
      </c>
      <c r="H229" s="140">
        <f t="shared" si="29"/>
        <v>0.3</v>
      </c>
      <c r="I229" s="140">
        <f t="shared" si="29"/>
        <v>0.3</v>
      </c>
      <c r="J229" s="140">
        <f t="shared" si="29"/>
        <v>0.3</v>
      </c>
      <c r="K229" s="140">
        <f t="shared" si="29"/>
        <v>0.3</v>
      </c>
      <c r="L229" s="140">
        <f t="shared" si="29"/>
        <v>0.3</v>
      </c>
      <c r="M229" s="140">
        <f t="shared" si="29"/>
        <v>0.3</v>
      </c>
      <c r="N229" s="140">
        <f t="shared" si="29"/>
        <v>0.3</v>
      </c>
      <c r="O229" s="140">
        <f t="shared" si="29"/>
        <v>0.3</v>
      </c>
      <c r="P229" s="140">
        <f t="shared" si="2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8"/>
        <v>0</v>
      </c>
      <c r="C230" s="128">
        <v>0.4</v>
      </c>
      <c r="D230" s="128">
        <f t="shared" si="29"/>
        <v>0.4</v>
      </c>
      <c r="E230" s="128">
        <f t="shared" si="29"/>
        <v>0.4</v>
      </c>
      <c r="F230" s="128">
        <f t="shared" si="29"/>
        <v>0.4</v>
      </c>
      <c r="G230" s="128">
        <f t="shared" si="29"/>
        <v>0.4</v>
      </c>
      <c r="H230" s="128">
        <f t="shared" si="29"/>
        <v>0.4</v>
      </c>
      <c r="I230" s="128">
        <f t="shared" si="29"/>
        <v>0.4</v>
      </c>
      <c r="J230" s="128">
        <f t="shared" si="29"/>
        <v>0.4</v>
      </c>
      <c r="K230" s="128">
        <f t="shared" si="29"/>
        <v>0.4</v>
      </c>
      <c r="L230" s="128">
        <f t="shared" si="29"/>
        <v>0.4</v>
      </c>
      <c r="M230" s="128">
        <f t="shared" si="29"/>
        <v>0.4</v>
      </c>
      <c r="N230" s="128">
        <f t="shared" si="29"/>
        <v>0.4</v>
      </c>
      <c r="O230" s="128">
        <f t="shared" si="29"/>
        <v>0.4</v>
      </c>
      <c r="P230" s="128">
        <f t="shared" si="2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8"/>
        <v>0</v>
      </c>
      <c r="C231" s="128">
        <v>1.5</v>
      </c>
      <c r="D231" s="128">
        <f t="shared" si="29"/>
        <v>1.5</v>
      </c>
      <c r="E231" s="128">
        <f t="shared" si="29"/>
        <v>1.5</v>
      </c>
      <c r="F231" s="128">
        <f t="shared" si="29"/>
        <v>1.5</v>
      </c>
      <c r="G231" s="128">
        <f t="shared" si="29"/>
        <v>1.5</v>
      </c>
      <c r="H231" s="128">
        <f t="shared" si="2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9"/>
        <v>123.21900000000009</v>
      </c>
      <c r="K231" s="128">
        <f t="shared" ca="1" si="29"/>
        <v>123.21900000000009</v>
      </c>
      <c r="L231" s="128">
        <f t="shared" ca="1" si="29"/>
        <v>123.21900000000009</v>
      </c>
      <c r="M231" s="128">
        <f t="shared" ca="1" si="29"/>
        <v>119.19900000000008</v>
      </c>
      <c r="N231" s="128">
        <f t="shared" ca="1" si="29"/>
        <v>119.19900000000008</v>
      </c>
      <c r="O231" s="128">
        <f t="shared" ca="1" si="29"/>
        <v>119.19900000000008</v>
      </c>
      <c r="P231" s="128">
        <f t="shared" ca="1" si="2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8"/>
        <v>0</v>
      </c>
      <c r="C232" s="128">
        <v>0.3</v>
      </c>
      <c r="D232" s="128">
        <f t="shared" si="29"/>
        <v>0.3</v>
      </c>
      <c r="E232" s="128">
        <f t="shared" si="29"/>
        <v>0.3</v>
      </c>
      <c r="F232" s="128">
        <f t="shared" si="29"/>
        <v>0.3</v>
      </c>
      <c r="G232" s="128">
        <f t="shared" si="29"/>
        <v>0.3</v>
      </c>
      <c r="H232" s="128">
        <f t="shared" si="29"/>
        <v>0.3</v>
      </c>
      <c r="I232" s="128">
        <f t="shared" si="29"/>
        <v>0.3</v>
      </c>
      <c r="J232" s="128">
        <f t="shared" si="29"/>
        <v>0.3</v>
      </c>
      <c r="K232" s="128">
        <f t="shared" si="29"/>
        <v>0.3</v>
      </c>
      <c r="L232" s="128">
        <f t="shared" si="29"/>
        <v>0.3</v>
      </c>
      <c r="M232" s="128">
        <f t="shared" si="29"/>
        <v>0.3</v>
      </c>
      <c r="N232" s="128">
        <f t="shared" si="29"/>
        <v>0.3</v>
      </c>
      <c r="O232" s="128">
        <f t="shared" si="29"/>
        <v>0.3</v>
      </c>
      <c r="P232" s="128">
        <f t="shared" si="2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8"/>
        <v>0</v>
      </c>
      <c r="C233" s="128">
        <v>0.4</v>
      </c>
      <c r="D233" s="128">
        <f t="shared" si="29"/>
        <v>0.4</v>
      </c>
      <c r="E233" s="128">
        <f t="shared" si="29"/>
        <v>0.4</v>
      </c>
      <c r="F233" s="128">
        <f t="shared" si="29"/>
        <v>0.4</v>
      </c>
      <c r="G233" s="128">
        <f t="shared" si="29"/>
        <v>0.4</v>
      </c>
      <c r="H233" s="128">
        <f t="shared" si="29"/>
        <v>0.4</v>
      </c>
      <c r="I233" s="128">
        <f t="shared" si="29"/>
        <v>0.4</v>
      </c>
      <c r="J233" s="128">
        <f t="shared" si="29"/>
        <v>0.4</v>
      </c>
      <c r="K233" s="128">
        <f t="shared" si="29"/>
        <v>0.4</v>
      </c>
      <c r="L233" s="128">
        <f t="shared" si="29"/>
        <v>0.4</v>
      </c>
      <c r="M233" s="128">
        <f t="shared" si="29"/>
        <v>0.4</v>
      </c>
      <c r="N233" s="128">
        <f t="shared" si="29"/>
        <v>0.4</v>
      </c>
      <c r="O233" s="128">
        <f t="shared" si="29"/>
        <v>0.4</v>
      </c>
      <c r="P233" s="128">
        <f t="shared" si="2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8"/>
        <v>0</v>
      </c>
      <c r="C234" s="132">
        <v>0.64</v>
      </c>
      <c r="D234" s="132">
        <f t="shared" si="29"/>
        <v>0.64</v>
      </c>
      <c r="E234" s="132">
        <f t="shared" si="29"/>
        <v>0.64</v>
      </c>
      <c r="F234" s="132">
        <f t="shared" si="29"/>
        <v>0.64</v>
      </c>
      <c r="G234" s="132">
        <f t="shared" si="29"/>
        <v>0.64</v>
      </c>
      <c r="H234" s="132">
        <f t="shared" si="29"/>
        <v>0.64</v>
      </c>
      <c r="I234" s="132">
        <f t="shared" si="29"/>
        <v>0.64</v>
      </c>
      <c r="J234" s="132">
        <f t="shared" si="29"/>
        <v>0.64</v>
      </c>
      <c r="K234" s="132">
        <f t="shared" si="29"/>
        <v>0.64</v>
      </c>
      <c r="L234" s="132">
        <f t="shared" si="29"/>
        <v>0.64</v>
      </c>
      <c r="M234" s="132">
        <f t="shared" si="29"/>
        <v>0.64</v>
      </c>
      <c r="N234" s="132">
        <f t="shared" si="29"/>
        <v>0.64</v>
      </c>
      <c r="O234" s="132">
        <f t="shared" si="29"/>
        <v>0.64</v>
      </c>
      <c r="P234" s="132">
        <f t="shared" si="2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0">SUM(B229:B234)</f>
        <v>0</v>
      </c>
      <c r="C235" s="136">
        <f t="shared" si="30"/>
        <v>3.54</v>
      </c>
      <c r="D235" s="136">
        <f t="shared" si="30"/>
        <v>3.54</v>
      </c>
      <c r="E235" s="136">
        <f t="shared" si="30"/>
        <v>3.54</v>
      </c>
      <c r="F235" s="136">
        <f t="shared" si="30"/>
        <v>3.54</v>
      </c>
      <c r="G235" s="136">
        <f t="shared" si="30"/>
        <v>3.54</v>
      </c>
      <c r="H235" s="136">
        <f t="shared" si="30"/>
        <v>3.54</v>
      </c>
      <c r="I235" s="136">
        <f t="shared" ca="1" si="30"/>
        <v>121.23900000000009</v>
      </c>
      <c r="J235" s="136">
        <f t="shared" ca="1" si="30"/>
        <v>121.23900000000009</v>
      </c>
      <c r="K235" s="136">
        <f t="shared" ca="1" si="30"/>
        <v>121.23900000000009</v>
      </c>
      <c r="L235" s="136">
        <f t="shared" ca="1" si="30"/>
        <v>125.2590000000001</v>
      </c>
      <c r="M235" s="136">
        <f t="shared" ca="1" si="30"/>
        <v>121.23900000000009</v>
      </c>
      <c r="N235" s="136">
        <f t="shared" ca="1" si="30"/>
        <v>121.23900000000009</v>
      </c>
      <c r="O235" s="136">
        <f t="shared" ca="1" si="30"/>
        <v>121.23900000000009</v>
      </c>
      <c r="P235" s="136">
        <f t="shared" ca="1" si="30"/>
        <v>121.23900000000009</v>
      </c>
      <c r="Q235" s="136">
        <f t="shared" si="30"/>
        <v>0</v>
      </c>
      <c r="R235" s="136">
        <f t="shared" si="30"/>
        <v>0</v>
      </c>
      <c r="S235" s="136">
        <f t="shared" si="30"/>
        <v>0</v>
      </c>
      <c r="T235" s="136">
        <f t="shared" si="30"/>
        <v>0</v>
      </c>
      <c r="U235" s="136">
        <f t="shared" si="30"/>
        <v>0</v>
      </c>
      <c r="V235" s="136">
        <f t="shared" si="30"/>
        <v>0</v>
      </c>
      <c r="W235" s="136">
        <f t="shared" si="30"/>
        <v>0</v>
      </c>
      <c r="X235" s="136">
        <f t="shared" si="30"/>
        <v>0</v>
      </c>
      <c r="Y235" s="136">
        <f t="shared" si="30"/>
        <v>0</v>
      </c>
      <c r="Z235" s="136">
        <f t="shared" si="30"/>
        <v>0</v>
      </c>
      <c r="AA235" s="136">
        <f t="shared" si="30"/>
        <v>0</v>
      </c>
      <c r="AB235" s="136">
        <f t="shared" si="30"/>
        <v>0</v>
      </c>
      <c r="AC235" s="136">
        <f t="shared" si="30"/>
        <v>0</v>
      </c>
      <c r="AD235" s="136">
        <f t="shared" si="30"/>
        <v>0</v>
      </c>
      <c r="AE235" s="136">
        <f t="shared" si="30"/>
        <v>0</v>
      </c>
      <c r="AF235" s="136">
        <f t="shared" si="30"/>
        <v>0</v>
      </c>
      <c r="AG235" s="145">
        <f t="shared" si="3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2000.1399999999999</v>
      </c>
      <c r="C244" s="161">
        <f>INDEX(G9:N9,1,MATCH(MAX(G91:N91),G91:N91,0))</f>
        <v>0.29166666666666669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1">B91</f>
        <v>1882.1399999999999</v>
      </c>
      <c r="U249" s="170">
        <f t="shared" si="31"/>
        <v>1972.14</v>
      </c>
      <c r="V249" s="170">
        <f t="shared" si="31"/>
        <v>1948.5400000000002</v>
      </c>
      <c r="W249" s="170">
        <f t="shared" si="31"/>
        <v>1931.0400000000002</v>
      </c>
      <c r="X249" s="170">
        <f t="shared" si="31"/>
        <v>1908.3400000000001</v>
      </c>
      <c r="Y249" s="170">
        <f t="shared" si="31"/>
        <v>1907.3400000000001</v>
      </c>
      <c r="Z249" s="170">
        <f t="shared" si="31"/>
        <v>1916.04</v>
      </c>
      <c r="AA249" s="170">
        <f t="shared" si="31"/>
        <v>1939.6400000000003</v>
      </c>
      <c r="AB249" s="170">
        <f t="shared" si="31"/>
        <v>1978.34</v>
      </c>
      <c r="AC249" s="170">
        <f t="shared" si="31"/>
        <v>2000.1399999999999</v>
      </c>
      <c r="AD249" s="170">
        <f t="shared" si="31"/>
        <v>1941.94</v>
      </c>
      <c r="AE249" s="170">
        <f t="shared" si="31"/>
        <v>1938.1399999999999</v>
      </c>
      <c r="AF249" s="170">
        <f t="shared" si="31"/>
        <v>1980.6399999999999</v>
      </c>
      <c r="AG249" s="170">
        <f t="shared" si="31"/>
        <v>1980.6399999999999</v>
      </c>
      <c r="AH249" s="170">
        <f t="shared" si="31"/>
        <v>1974.1399999999999</v>
      </c>
      <c r="AI249" s="170">
        <f t="shared" si="31"/>
        <v>1957.1399999999999</v>
      </c>
      <c r="AJ249" s="170">
        <f t="shared" si="31"/>
        <v>1970.44</v>
      </c>
      <c r="AK249" s="170">
        <f t="shared" si="31"/>
        <v>2013.6399999999999</v>
      </c>
      <c r="AL249" s="170">
        <f t="shared" si="31"/>
        <v>1996.34</v>
      </c>
      <c r="AM249" s="170">
        <f t="shared" si="31"/>
        <v>1993.9399999999998</v>
      </c>
      <c r="AN249" s="170">
        <f t="shared" si="31"/>
        <v>1907.44</v>
      </c>
      <c r="AO249" s="170">
        <f t="shared" si="31"/>
        <v>1940.14</v>
      </c>
      <c r="AP249" s="170">
        <f t="shared" si="31"/>
        <v>1950.1399999999999</v>
      </c>
      <c r="AQ249" s="170">
        <f t="shared" si="31"/>
        <v>1950.1399999999999</v>
      </c>
      <c r="AR249" s="170">
        <f t="shared" si="31"/>
        <v>1963.94</v>
      </c>
      <c r="AS249" s="170">
        <f t="shared" si="31"/>
        <v>2067.3399999999997</v>
      </c>
      <c r="AT249" s="170">
        <f t="shared" si="31"/>
        <v>2052.34</v>
      </c>
      <c r="AU249" s="170">
        <f t="shared" si="31"/>
        <v>2031.94</v>
      </c>
      <c r="AV249" s="170">
        <f t="shared" si="31"/>
        <v>2041.2400000000002</v>
      </c>
      <c r="AW249" s="170">
        <f t="shared" si="31"/>
        <v>2013.3400000000004</v>
      </c>
      <c r="AX249" s="170">
        <f t="shared" si="31"/>
        <v>1999.94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2">C234</f>
        <v>0.64</v>
      </c>
      <c r="C270" s="173">
        <f t="shared" si="32"/>
        <v>0.64</v>
      </c>
      <c r="D270" s="173">
        <f t="shared" si="32"/>
        <v>0.64</v>
      </c>
      <c r="E270" s="173">
        <f t="shared" si="32"/>
        <v>0.64</v>
      </c>
      <c r="F270" s="173">
        <f t="shared" si="32"/>
        <v>0.64</v>
      </c>
      <c r="G270" s="173">
        <f t="shared" si="32"/>
        <v>0.64</v>
      </c>
      <c r="H270" s="173">
        <f t="shared" si="32"/>
        <v>0.64</v>
      </c>
      <c r="I270" s="173">
        <f t="shared" si="32"/>
        <v>0.64</v>
      </c>
      <c r="J270" s="173">
        <f t="shared" si="32"/>
        <v>0.64</v>
      </c>
      <c r="K270" s="173">
        <f t="shared" si="32"/>
        <v>0.64</v>
      </c>
      <c r="L270" s="173">
        <f t="shared" si="32"/>
        <v>0.64</v>
      </c>
      <c r="M270" s="173">
        <f t="shared" si="32"/>
        <v>0.64</v>
      </c>
      <c r="N270" s="173">
        <f t="shared" si="32"/>
        <v>0.64</v>
      </c>
      <c r="O270" s="173">
        <f t="shared" si="32"/>
        <v>0.64</v>
      </c>
      <c r="P270" s="173">
        <f t="shared" si="32"/>
        <v>0</v>
      </c>
      <c r="Q270" s="173">
        <f t="shared" si="32"/>
        <v>0</v>
      </c>
      <c r="R270" s="173">
        <f t="shared" si="32"/>
        <v>0</v>
      </c>
      <c r="S270" s="173">
        <f t="shared" si="32"/>
        <v>0</v>
      </c>
      <c r="T270" s="173">
        <f t="shared" si="32"/>
        <v>0</v>
      </c>
      <c r="U270" s="173">
        <f t="shared" si="32"/>
        <v>0</v>
      </c>
      <c r="V270" s="173">
        <f t="shared" si="32"/>
        <v>0</v>
      </c>
      <c r="W270" s="173">
        <f t="shared" si="32"/>
        <v>0</v>
      </c>
      <c r="X270" s="173">
        <f t="shared" si="32"/>
        <v>0</v>
      </c>
      <c r="Y270" s="173">
        <f t="shared" si="32"/>
        <v>0</v>
      </c>
      <c r="Z270" s="173">
        <f t="shared" si="32"/>
        <v>0</v>
      </c>
      <c r="AA270" s="173">
        <f t="shared" si="32"/>
        <v>0</v>
      </c>
      <c r="AB270" s="173">
        <f t="shared" si="32"/>
        <v>0</v>
      </c>
      <c r="AC270" s="173">
        <f t="shared" si="32"/>
        <v>0</v>
      </c>
      <c r="AD270" s="173">
        <f t="shared" si="32"/>
        <v>0</v>
      </c>
      <c r="AE270" s="173">
        <f t="shared" si="3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3">IF(B238&lt;100,"",B238-520)</f>
        <v/>
      </c>
      <c r="C271" s="174" t="str">
        <f t="shared" si="33"/>
        <v/>
      </c>
      <c r="D271" s="174" t="str">
        <f t="shared" si="33"/>
        <v/>
      </c>
      <c r="E271" s="174" t="str">
        <f t="shared" si="33"/>
        <v/>
      </c>
      <c r="F271" s="174" t="str">
        <f t="shared" si="33"/>
        <v/>
      </c>
      <c r="G271" s="174" t="str">
        <f t="shared" si="33"/>
        <v/>
      </c>
      <c r="H271" s="174" t="str">
        <f t="shared" si="33"/>
        <v/>
      </c>
      <c r="I271" s="174" t="str">
        <f t="shared" si="33"/>
        <v/>
      </c>
      <c r="J271" s="174" t="str">
        <f t="shared" si="33"/>
        <v/>
      </c>
      <c r="K271" s="174" t="str">
        <f t="shared" si="33"/>
        <v/>
      </c>
      <c r="L271" s="174" t="str">
        <f t="shared" si="33"/>
        <v/>
      </c>
      <c r="M271" s="174" t="str">
        <f t="shared" si="33"/>
        <v/>
      </c>
      <c r="N271" s="174" t="str">
        <f t="shared" si="33"/>
        <v/>
      </c>
      <c r="O271" s="174" t="str">
        <f t="shared" si="33"/>
        <v/>
      </c>
      <c r="P271" s="174" t="str">
        <f t="shared" si="33"/>
        <v/>
      </c>
      <c r="Q271" s="174" t="str">
        <f t="shared" si="33"/>
        <v/>
      </c>
      <c r="R271" s="174" t="str">
        <f t="shared" si="33"/>
        <v/>
      </c>
      <c r="S271" s="174" t="str">
        <f t="shared" si="33"/>
        <v/>
      </c>
      <c r="T271" s="174" t="str">
        <f t="shared" si="33"/>
        <v/>
      </c>
      <c r="U271" s="174" t="str">
        <f t="shared" si="33"/>
        <v/>
      </c>
      <c r="V271" s="174" t="str">
        <f t="shared" si="33"/>
        <v/>
      </c>
      <c r="W271" s="174" t="str">
        <f t="shared" si="33"/>
        <v/>
      </c>
      <c r="X271" s="174" t="str">
        <f t="shared" si="33"/>
        <v/>
      </c>
      <c r="Y271" s="174" t="str">
        <f t="shared" si="33"/>
        <v/>
      </c>
      <c r="Z271" s="174" t="str">
        <f t="shared" si="33"/>
        <v/>
      </c>
      <c r="AA271" s="174" t="str">
        <f t="shared" si="33"/>
        <v/>
      </c>
      <c r="AB271" s="174" t="str">
        <f t="shared" si="33"/>
        <v/>
      </c>
      <c r="AC271" s="174" t="str">
        <f t="shared" si="33"/>
        <v/>
      </c>
      <c r="AD271" s="174" t="str">
        <f t="shared" si="33"/>
        <v/>
      </c>
      <c r="AE271" s="174" t="str">
        <f t="shared" si="33"/>
        <v/>
      </c>
      <c r="AF271" s="174" t="str">
        <f t="shared" si="3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4">IF(B239&lt;100,"",B239-620)</f>
        <v/>
      </c>
      <c r="C272" s="174" t="str">
        <f t="shared" si="34"/>
        <v/>
      </c>
      <c r="D272" s="174" t="str">
        <f t="shared" si="34"/>
        <v/>
      </c>
      <c r="E272" s="174" t="str">
        <f t="shared" si="34"/>
        <v/>
      </c>
      <c r="F272" s="174" t="str">
        <f t="shared" si="34"/>
        <v/>
      </c>
      <c r="G272" s="174" t="str">
        <f t="shared" si="34"/>
        <v/>
      </c>
      <c r="H272" s="174" t="str">
        <f t="shared" si="34"/>
        <v/>
      </c>
      <c r="I272" s="174" t="str">
        <f t="shared" si="34"/>
        <v/>
      </c>
      <c r="J272" s="174" t="str">
        <f t="shared" si="34"/>
        <v/>
      </c>
      <c r="K272" s="174" t="str">
        <f t="shared" si="34"/>
        <v/>
      </c>
      <c r="L272" s="174" t="str">
        <f t="shared" si="34"/>
        <v/>
      </c>
      <c r="M272" s="174" t="str">
        <f t="shared" si="34"/>
        <v/>
      </c>
      <c r="N272" s="174" t="str">
        <f t="shared" si="34"/>
        <v/>
      </c>
      <c r="O272" s="174" t="str">
        <f t="shared" si="34"/>
        <v/>
      </c>
      <c r="P272" s="174" t="str">
        <f t="shared" si="34"/>
        <v/>
      </c>
      <c r="Q272" s="174" t="str">
        <f t="shared" si="34"/>
        <v/>
      </c>
      <c r="R272" s="174" t="str">
        <f t="shared" si="34"/>
        <v/>
      </c>
      <c r="S272" s="174" t="str">
        <f t="shared" si="34"/>
        <v/>
      </c>
      <c r="T272" s="174" t="str">
        <f t="shared" si="34"/>
        <v/>
      </c>
      <c r="U272" s="174" t="str">
        <f t="shared" si="34"/>
        <v/>
      </c>
      <c r="V272" s="174" t="str">
        <f t="shared" si="34"/>
        <v/>
      </c>
      <c r="W272" s="174" t="str">
        <f t="shared" si="34"/>
        <v/>
      </c>
      <c r="X272" s="174" t="str">
        <f t="shared" si="34"/>
        <v/>
      </c>
      <c r="Y272" s="174" t="str">
        <f t="shared" si="34"/>
        <v/>
      </c>
      <c r="Z272" s="174" t="str">
        <f t="shared" si="34"/>
        <v/>
      </c>
      <c r="AA272" s="174" t="str">
        <f t="shared" si="34"/>
        <v/>
      </c>
      <c r="AB272" s="174" t="str">
        <f t="shared" si="34"/>
        <v/>
      </c>
      <c r="AC272" s="174" t="str">
        <f t="shared" si="34"/>
        <v/>
      </c>
      <c r="AD272" s="174" t="str">
        <f t="shared" si="34"/>
        <v/>
      </c>
      <c r="AE272" s="174" t="str">
        <f t="shared" si="34"/>
        <v/>
      </c>
      <c r="AF272" s="174" t="str">
        <f t="shared" si="3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5">IF(B240&lt;100,"",B240-330)</f>
        <v/>
      </c>
      <c r="C273" s="174" t="str">
        <f t="shared" si="35"/>
        <v/>
      </c>
      <c r="D273" s="174" t="str">
        <f t="shared" si="35"/>
        <v/>
      </c>
      <c r="E273" s="174" t="str">
        <f t="shared" si="35"/>
        <v/>
      </c>
      <c r="F273" s="174" t="str">
        <f t="shared" si="35"/>
        <v/>
      </c>
      <c r="G273" s="174" t="str">
        <f t="shared" si="35"/>
        <v/>
      </c>
      <c r="H273" s="174" t="str">
        <f t="shared" si="35"/>
        <v/>
      </c>
      <c r="I273" s="174" t="str">
        <f t="shared" si="35"/>
        <v/>
      </c>
      <c r="J273" s="174" t="str">
        <f t="shared" si="35"/>
        <v/>
      </c>
      <c r="K273" s="174" t="str">
        <f t="shared" si="35"/>
        <v/>
      </c>
      <c r="L273" s="174" t="str">
        <f t="shared" si="35"/>
        <v/>
      </c>
      <c r="M273" s="174" t="str">
        <f t="shared" si="35"/>
        <v/>
      </c>
      <c r="N273" s="174" t="str">
        <f t="shared" si="35"/>
        <v/>
      </c>
      <c r="O273" s="174" t="str">
        <f t="shared" si="35"/>
        <v/>
      </c>
      <c r="P273" s="174" t="str">
        <f t="shared" si="35"/>
        <v/>
      </c>
      <c r="Q273" s="174" t="str">
        <f t="shared" si="35"/>
        <v/>
      </c>
      <c r="R273" s="174" t="str">
        <f t="shared" si="35"/>
        <v/>
      </c>
      <c r="S273" s="174" t="str">
        <f t="shared" si="35"/>
        <v/>
      </c>
      <c r="T273" s="174" t="str">
        <f t="shared" si="35"/>
        <v/>
      </c>
      <c r="U273" s="174" t="str">
        <f t="shared" si="35"/>
        <v/>
      </c>
      <c r="V273" s="174" t="str">
        <f t="shared" si="35"/>
        <v/>
      </c>
      <c r="W273" s="174" t="str">
        <f t="shared" si="35"/>
        <v/>
      </c>
      <c r="X273" s="174" t="str">
        <f t="shared" si="35"/>
        <v/>
      </c>
      <c r="Y273" s="174" t="str">
        <f t="shared" si="35"/>
        <v/>
      </c>
      <c r="Z273" s="174" t="str">
        <f t="shared" si="35"/>
        <v/>
      </c>
      <c r="AA273" s="174" t="str">
        <f t="shared" si="35"/>
        <v/>
      </c>
      <c r="AB273" s="174" t="str">
        <f t="shared" si="35"/>
        <v/>
      </c>
      <c r="AC273" s="174" t="str">
        <f t="shared" si="35"/>
        <v/>
      </c>
      <c r="AD273" s="174" t="str">
        <f t="shared" si="35"/>
        <v/>
      </c>
      <c r="AE273" s="174" t="str">
        <f t="shared" si="35"/>
        <v/>
      </c>
      <c r="AF273" s="174" t="str">
        <f t="shared" si="3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6">IF(B241&lt;100,"",B241-1500)</f>
        <v/>
      </c>
      <c r="C274" s="174" t="str">
        <f t="shared" si="36"/>
        <v/>
      </c>
      <c r="D274" s="174" t="str">
        <f t="shared" si="36"/>
        <v/>
      </c>
      <c r="E274" s="174" t="str">
        <f t="shared" si="36"/>
        <v/>
      </c>
      <c r="F274" s="174" t="str">
        <f t="shared" si="36"/>
        <v/>
      </c>
      <c r="G274" s="174" t="str">
        <f t="shared" si="36"/>
        <v/>
      </c>
      <c r="H274" s="174" t="str">
        <f t="shared" si="36"/>
        <v/>
      </c>
      <c r="I274" s="174" t="str">
        <f t="shared" si="36"/>
        <v/>
      </c>
      <c r="J274" s="174" t="str">
        <f t="shared" si="36"/>
        <v/>
      </c>
      <c r="K274" s="174" t="str">
        <f t="shared" si="36"/>
        <v/>
      </c>
      <c r="L274" s="174" t="str">
        <f t="shared" si="36"/>
        <v/>
      </c>
      <c r="M274" s="174" t="str">
        <f t="shared" si="36"/>
        <v/>
      </c>
      <c r="N274" s="174" t="str">
        <f t="shared" si="36"/>
        <v/>
      </c>
      <c r="O274" s="174" t="str">
        <f t="shared" si="36"/>
        <v/>
      </c>
      <c r="P274" s="174" t="str">
        <f t="shared" si="36"/>
        <v/>
      </c>
      <c r="Q274" s="174" t="str">
        <f t="shared" si="36"/>
        <v/>
      </c>
      <c r="R274" s="174" t="str">
        <f t="shared" si="36"/>
        <v/>
      </c>
      <c r="S274" s="174" t="str">
        <f t="shared" si="36"/>
        <v/>
      </c>
      <c r="T274" s="174" t="str">
        <f t="shared" si="36"/>
        <v/>
      </c>
      <c r="U274" s="174" t="str">
        <f t="shared" si="36"/>
        <v/>
      </c>
      <c r="V274" s="174" t="str">
        <f t="shared" si="36"/>
        <v/>
      </c>
      <c r="W274" s="174" t="str">
        <f t="shared" si="36"/>
        <v/>
      </c>
      <c r="X274" s="174" t="str">
        <f t="shared" si="36"/>
        <v/>
      </c>
      <c r="Y274" s="174" t="str">
        <f t="shared" si="36"/>
        <v/>
      </c>
      <c r="Z274" s="174" t="str">
        <f t="shared" si="36"/>
        <v/>
      </c>
      <c r="AA274" s="174" t="str">
        <f t="shared" si="36"/>
        <v/>
      </c>
      <c r="AB274" s="174" t="str">
        <f t="shared" si="36"/>
        <v/>
      </c>
      <c r="AC274" s="174" t="str">
        <f t="shared" si="36"/>
        <v/>
      </c>
      <c r="AD274" s="174" t="str">
        <f t="shared" si="36"/>
        <v/>
      </c>
      <c r="AE274" s="174" t="str">
        <f t="shared" si="36"/>
        <v/>
      </c>
      <c r="AF274" s="174" t="str">
        <f t="shared" si="3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3656" priority="64">
      <formula>$AH11=0</formula>
    </cfRule>
  </conditionalFormatting>
  <conditionalFormatting sqref="B8 M8 S8 AB8">
    <cfRule type="expression" dxfId="3655" priority="117">
      <formula>C$9&lt;8/24</formula>
    </cfRule>
    <cfRule type="expression" dxfId="3654" priority="116">
      <formula>AND(C$9&gt;=8/24,C$9&lt;14/24)</formula>
    </cfRule>
    <cfRule type="expression" dxfId="3653" priority="115">
      <formula>AND(C$9&gt;=14/24,C$9&lt;20/24)</formula>
    </cfRule>
  </conditionalFormatting>
  <conditionalFormatting sqref="B54:C54">
    <cfRule type="expression" dxfId="3652" priority="38">
      <formula>B$9&gt;=20/24</formula>
    </cfRule>
    <cfRule type="expression" dxfId="3651" priority="39">
      <formula>AND(B$9&gt;=14/24,B$9&lt;20/24)</formula>
    </cfRule>
    <cfRule type="expression" dxfId="3650" priority="40">
      <formula>AND(B$9&gt;=8/24,B$9&lt;14/24)</formula>
    </cfRule>
    <cfRule type="expression" dxfId="3649" priority="41">
      <formula>B$9&lt;8/24</formula>
    </cfRule>
  </conditionalFormatting>
  <conditionalFormatting sqref="B54:C66">
    <cfRule type="expression" dxfId="3648" priority="33">
      <formula>B54&gt;$AG54</formula>
    </cfRule>
  </conditionalFormatting>
  <conditionalFormatting sqref="B55:E59">
    <cfRule type="expression" dxfId="3647" priority="63">
      <formula>B$9&lt;8/24</formula>
    </cfRule>
    <cfRule type="expression" dxfId="3646" priority="62">
      <formula>AND(B$9&gt;=8/24,B$9&lt;14/24)</formula>
    </cfRule>
    <cfRule type="expression" dxfId="3645" priority="61">
      <formula>AND(B$9&gt;=14/24,B$9&lt;20/24)</formula>
    </cfRule>
    <cfRule type="expression" dxfId="3644" priority="60">
      <formula>B$9&gt;=20/24</formula>
    </cfRule>
  </conditionalFormatting>
  <conditionalFormatting sqref="B60:Z60">
    <cfRule type="expression" dxfId="3643" priority="52">
      <formula>AND(B$9&gt;=14/24,B$9&lt;20/24)</formula>
    </cfRule>
    <cfRule type="expression" dxfId="3642" priority="51">
      <formula>B$9&gt;=20/24</formula>
    </cfRule>
    <cfRule type="expression" dxfId="3641" priority="54">
      <formula>B$9&lt;8/24</formula>
    </cfRule>
    <cfRule type="expression" dxfId="3640" priority="53">
      <formula>AND(B$9&gt;=8/24,B$9&lt;14/24)</formula>
    </cfRule>
  </conditionalFormatting>
  <conditionalFormatting sqref="B9:AF45">
    <cfRule type="expression" dxfId="3639" priority="23">
      <formula>B$9&gt;=20/24</formula>
    </cfRule>
    <cfRule type="expression" dxfId="3638" priority="24">
      <formula>AND(B$9&gt;=14/24,B$9&lt;20/24)</formula>
    </cfRule>
    <cfRule type="expression" dxfId="3637" priority="25">
      <formula>AND(B$9&gt;=8/24,B$9&lt;14/24)</formula>
    </cfRule>
    <cfRule type="expression" dxfId="3636" priority="26">
      <formula>B$9&lt;8/24</formula>
    </cfRule>
  </conditionalFormatting>
  <conditionalFormatting sqref="B11:AF46">
    <cfRule type="expression" dxfId="3635" priority="22">
      <formula>B11&gt;$AG11</formula>
    </cfRule>
  </conditionalFormatting>
  <conditionalFormatting sqref="B46:AF46">
    <cfRule type="expression" dxfId="3634" priority="21">
      <formula>B$9&lt;8/24</formula>
    </cfRule>
    <cfRule type="expression" dxfId="3633" priority="18">
      <formula>B$9&gt;=20/24</formula>
    </cfRule>
    <cfRule type="expression" dxfId="3632" priority="19">
      <formula>AND(B$9&gt;=14/24,B$9&lt;20/24)</formula>
    </cfRule>
    <cfRule type="expression" dxfId="3631" priority="20">
      <formula>AND(B$9&gt;=8/24,B$9&lt;14/24)</formula>
    </cfRule>
  </conditionalFormatting>
  <conditionalFormatting sqref="B47:AF47">
    <cfRule type="expression" dxfId="3630" priority="32">
      <formula>B47&gt;$AG47</formula>
    </cfRule>
  </conditionalFormatting>
  <conditionalFormatting sqref="B47:AF49">
    <cfRule type="expression" dxfId="3629" priority="31">
      <formula>B$9&lt;8/24</formula>
    </cfRule>
    <cfRule type="expression" dxfId="3628" priority="30">
      <formula>AND(B$9&gt;=8/24,B$9&lt;14/24)</formula>
    </cfRule>
    <cfRule type="expression" dxfId="3627" priority="29">
      <formula>AND(B$9&gt;=14/24,B$9&lt;20/24)</formula>
    </cfRule>
    <cfRule type="expression" dxfId="3626" priority="28">
      <formula>B$9&gt;=20/24</formula>
    </cfRule>
  </conditionalFormatting>
  <conditionalFormatting sqref="B48:AF53">
    <cfRule type="expression" dxfId="3625" priority="27">
      <formula>B48&gt;$AG48</formula>
    </cfRule>
  </conditionalFormatting>
  <conditionalFormatting sqref="B51:AF53">
    <cfRule type="expression" dxfId="3624" priority="48">
      <formula>AND(B$9&gt;=14/24,B$9&lt;20/24)</formula>
    </cfRule>
    <cfRule type="expression" dxfId="3623" priority="49">
      <formula>AND(B$9&gt;=8/24,B$9&lt;14/24)</formula>
    </cfRule>
    <cfRule type="expression" dxfId="3622" priority="50">
      <formula>B$9&lt;8/24</formula>
    </cfRule>
    <cfRule type="expression" dxfId="3621" priority="47">
      <formula>B$9&gt;=20/24</formula>
    </cfRule>
  </conditionalFormatting>
  <conditionalFormatting sqref="B61:AF66">
    <cfRule type="expression" dxfId="3620" priority="35">
      <formula>AND(B$9&gt;=14/24,B$9&lt;20/24)</formula>
    </cfRule>
    <cfRule type="expression" dxfId="3619" priority="36">
      <formula>AND(B$9&gt;=8/24,B$9&lt;14/24)</formula>
    </cfRule>
    <cfRule type="expression" dxfId="3618" priority="37">
      <formula>B$9&lt;8/24</formula>
    </cfRule>
    <cfRule type="expression" dxfId="3617" priority="34">
      <formula>B$9&gt;=20/24</formula>
    </cfRule>
  </conditionalFormatting>
  <conditionalFormatting sqref="B69:AF71">
    <cfRule type="expression" dxfId="3616" priority="58">
      <formula>AND(B$9&gt;=8/24,B$9&lt;14/24)</formula>
    </cfRule>
    <cfRule type="expression" dxfId="3615" priority="59">
      <formula>B$9&lt;8/24</formula>
    </cfRule>
    <cfRule type="expression" dxfId="3614" priority="55">
      <formula>B69&gt;$AG69</formula>
    </cfRule>
    <cfRule type="expression" dxfId="3613" priority="56">
      <formula>B$9&gt;=20/24</formula>
    </cfRule>
    <cfRule type="expression" dxfId="3612" priority="57">
      <formula>AND(B$9&gt;=14/24,B$9&lt;20/24)</formula>
    </cfRule>
  </conditionalFormatting>
  <conditionalFormatting sqref="B73:AF91">
    <cfRule type="expression" dxfId="3611" priority="2">
      <formula>AND(B$9&gt;=14/24,B$9&lt;20/24)</formula>
    </cfRule>
    <cfRule type="expression" dxfId="3610" priority="4">
      <formula>B$9&lt;8/24</formula>
    </cfRule>
    <cfRule type="expression" dxfId="3609" priority="3">
      <formula>AND(B$9&gt;=8/24,B$9&lt;14/24)</formula>
    </cfRule>
    <cfRule type="expression" dxfId="3608" priority="1">
      <formula>B$9&gt;=20/24</formula>
    </cfRule>
  </conditionalFormatting>
  <conditionalFormatting sqref="B111:AF120">
    <cfRule type="expression" dxfId="3607" priority="17">
      <formula>B$9&lt;8/24</formula>
    </cfRule>
    <cfRule type="expression" dxfId="3606" priority="16">
      <formula>AND(B$9&gt;=8/24,B$9&lt;14/24)</formula>
    </cfRule>
    <cfRule type="expression" dxfId="3605" priority="15">
      <formula>AND(B$9&gt;=14/24,B$9&lt;20/24)</formula>
    </cfRule>
    <cfRule type="expression" dxfId="3604" priority="14">
      <formula>B$9&gt;=20/24</formula>
    </cfRule>
  </conditionalFormatting>
  <conditionalFormatting sqref="B227:AF227 D229:AF230 B229:B235 D231:H231 J231:AF231 D232:AF235 U248:AF248">
    <cfRule type="expression" dxfId="3603" priority="108">
      <formula>B$9&gt;=20/24</formula>
    </cfRule>
    <cfRule type="expression" dxfId="3602" priority="110">
      <formula>AND(B$9&gt;=8/24,B$9&lt;14/24)</formula>
    </cfRule>
    <cfRule type="expression" dxfId="3601" priority="111">
      <formula>B$9&lt;8/24</formula>
    </cfRule>
    <cfRule type="expression" dxfId="3600" priority="109">
      <formula>AND(B$9&gt;=14/24,B$9&lt;20/24)</formula>
    </cfRule>
  </conditionalFormatting>
  <conditionalFormatting sqref="B67:AG68 B72:AG72">
    <cfRule type="expression" dxfId="3599" priority="42">
      <formula>B67&gt;$AG67</formula>
    </cfRule>
  </conditionalFormatting>
  <conditionalFormatting sqref="B72:AG72 B93:AF109">
    <cfRule type="expression" dxfId="3598" priority="46">
      <formula>B$9&lt;8/24</formula>
    </cfRule>
    <cfRule type="expression" dxfId="3597" priority="45">
      <formula>AND(B$9&gt;=8/24,B$9&lt;14/24)</formula>
    </cfRule>
    <cfRule type="expression" dxfId="3596" priority="44">
      <formula>AND(B$9&gt;=14/24,B$9&lt;20/24)</formula>
    </cfRule>
    <cfRule type="expression" dxfId="3595" priority="43">
      <formula>B$9&gt;=20/24</formula>
    </cfRule>
  </conditionalFormatting>
  <conditionalFormatting sqref="D55:AF66">
    <cfRule type="expression" dxfId="3594" priority="5">
      <formula>D55&gt;$AG55</formula>
    </cfRule>
  </conditionalFormatting>
  <conditionalFormatting sqref="D54:AG54">
    <cfRule type="expression" dxfId="3593" priority="78">
      <formula>AND(D$9&gt;=14/24,D$9&lt;20/24)</formula>
    </cfRule>
    <cfRule type="expression" dxfId="3592" priority="77">
      <formula>D$9&gt;=20/24</formula>
    </cfRule>
    <cfRule type="expression" dxfId="3591" priority="76">
      <formula>D54&gt;$AG54</formula>
    </cfRule>
    <cfRule type="expression" dxfId="3590" priority="79">
      <formula>AND(D$9&gt;=8/24,D$9&lt;14/24)</formula>
    </cfRule>
    <cfRule type="expression" dxfId="3589" priority="80">
      <formula>D$9&lt;8/24</formula>
    </cfRule>
  </conditionalFormatting>
  <conditionalFormatting sqref="F55:Z57">
    <cfRule type="expression" dxfId="3588" priority="89">
      <formula>F$9&gt;=20/24</formula>
    </cfRule>
    <cfRule type="expression" dxfId="3587" priority="90">
      <formula>AND(F$9&gt;=14/24,F$9&lt;20/24)</formula>
    </cfRule>
    <cfRule type="expression" dxfId="3586" priority="91">
      <formula>AND(F$9&gt;=8/24,F$9&lt;14/24)</formula>
    </cfRule>
    <cfRule type="expression" dxfId="3585" priority="92">
      <formula>F$9&lt;8/24</formula>
    </cfRule>
  </conditionalFormatting>
  <conditionalFormatting sqref="M55:Z59">
    <cfRule type="expression" dxfId="3584" priority="93">
      <formula>M$9&gt;=20/24</formula>
    </cfRule>
    <cfRule type="expression" dxfId="3583" priority="95">
      <formula>AND(M$9&gt;=8/24,M$9&lt;14/24)</formula>
    </cfRule>
    <cfRule type="expression" dxfId="3582" priority="96">
      <formula>M$9&lt;8/24</formula>
    </cfRule>
    <cfRule type="expression" dxfId="3581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580" priority="114">
      <formula>C$9&gt;=20/24</formula>
    </cfRule>
  </conditionalFormatting>
  <conditionalFormatting sqref="S8">
    <cfRule type="expression" dxfId="3579" priority="102">
      <formula>AND(U$9&gt;=14/24,U$9&lt;20/24)</formula>
    </cfRule>
    <cfRule type="expression" dxfId="3578" priority="101">
      <formula>U$9&gt;=20/24</formula>
    </cfRule>
    <cfRule type="expression" dxfId="3577" priority="103">
      <formula>AND(U$9&gt;=8/24,U$9&lt;14/24)</formula>
    </cfRule>
    <cfRule type="expression" dxfId="3576" priority="104">
      <formula>U$9&lt;8/24</formula>
    </cfRule>
  </conditionalFormatting>
  <conditionalFormatting sqref="T248">
    <cfRule type="expression" dxfId="3575" priority="129">
      <formula>AX$9&lt;8/24</formula>
    </cfRule>
    <cfRule type="expression" dxfId="3574" priority="126">
      <formula>AX$9&gt;=20/24</formula>
    </cfRule>
    <cfRule type="expression" dxfId="3573" priority="127">
      <formula>AND(AX$9&gt;=14/24,AX$9&lt;20/24)</formula>
    </cfRule>
    <cfRule type="expression" dxfId="3572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3571" priority="12">
      <formula>AND(AA$9&gt;=8/24,AA$9&lt;14/24)</formula>
    </cfRule>
    <cfRule type="expression" dxfId="3570" priority="13">
      <formula>AA$9&lt;8/24</formula>
    </cfRule>
    <cfRule type="expression" dxfId="3569" priority="11">
      <formula>AND(AA$9&gt;=14/24,AA$9&lt;20/24)</formula>
    </cfRule>
    <cfRule type="expression" dxfId="3568" priority="10">
      <formula>AA$9&gt;=20/24</formula>
    </cfRule>
  </conditionalFormatting>
  <conditionalFormatting sqref="AB8">
    <cfRule type="expression" dxfId="3567" priority="97">
      <formula>AD$9&gt;=20/24</formula>
    </cfRule>
    <cfRule type="expression" dxfId="3566" priority="99">
      <formula>AND(AD$9&gt;=8/24,AD$9&lt;14/24)</formula>
    </cfRule>
    <cfRule type="expression" dxfId="3565" priority="98">
      <formula>AND(AD$9&gt;=14/24,AD$9&lt;20/24)</formula>
    </cfRule>
    <cfRule type="expression" dxfId="3564" priority="100">
      <formula>AD$9&lt;8/24</formula>
    </cfRule>
  </conditionalFormatting>
  <conditionalFormatting sqref="AE61:AF66">
    <cfRule type="expression" dxfId="3563" priority="7">
      <formula>AND(AE$9&gt;=14/24,AE$9&lt;20/24)</formula>
    </cfRule>
    <cfRule type="expression" dxfId="3562" priority="6">
      <formula>AE$9&gt;=20/24</formula>
    </cfRule>
    <cfRule type="expression" dxfId="3561" priority="9">
      <formula>AE$9&lt;8/24</formula>
    </cfRule>
    <cfRule type="expression" dxfId="3560" priority="8">
      <formula>AND(AE$9&gt;=8/24,AE$9&lt;14/24)</formula>
    </cfRule>
  </conditionalFormatting>
  <conditionalFormatting sqref="AG50">
    <cfRule type="expression" dxfId="3559" priority="84">
      <formula>AG50&gt;$AG50</formula>
    </cfRule>
  </conditionalFormatting>
  <conditionalFormatting sqref="AG89">
    <cfRule type="expression" dxfId="3558" priority="85">
      <formula>AG$9&gt;=20/24</formula>
    </cfRule>
    <cfRule type="expression" dxfId="3557" priority="86">
      <formula>AND(AG$9&gt;=14/24,AG$9&lt;20/24)</formula>
    </cfRule>
    <cfRule type="expression" dxfId="3556" priority="87">
      <formula>AND(AG$9&gt;=8/24,AG$9&lt;14/24)</formula>
    </cfRule>
    <cfRule type="expression" dxfId="3555" priority="88">
      <formula>AG$9&lt;8/24</formula>
    </cfRule>
  </conditionalFormatting>
  <conditionalFormatting sqref="AG248">
    <cfRule type="expression" dxfId="3554" priority="118">
      <formula>B$9&gt;=20/24</formula>
    </cfRule>
    <cfRule type="expression" dxfId="3553" priority="121">
      <formula>B$9&lt;8/24</formula>
    </cfRule>
    <cfRule type="expression" dxfId="3552" priority="120">
      <formula>AND(B$9&gt;=8/24,B$9&lt;14/24)</formula>
    </cfRule>
    <cfRule type="expression" dxfId="3551" priority="119">
      <formula>AND(B$9&gt;=14/24,B$9&lt;20/24)</formula>
    </cfRule>
  </conditionalFormatting>
  <conditionalFormatting sqref="AH248:AX248">
    <cfRule type="expression" dxfId="3550" priority="125">
      <formula>AG$9&lt;8/24</formula>
    </cfRule>
    <cfRule type="expression" dxfId="3549" priority="124">
      <formula>AND(AG$9&gt;=8/24,AG$9&lt;14/24)</formula>
    </cfRule>
    <cfRule type="expression" dxfId="3548" priority="123">
      <formula>AND(AG$9&gt;=14/24,AG$9&lt;20/24)</formula>
    </cfRule>
    <cfRule type="expression" dxfId="3547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546" priority="131">
      <formula>AJ$9&gt;=20/24</formula>
    </cfRule>
    <cfRule type="expression" dxfId="3545" priority="132">
      <formula>AND(AJ$9&gt;=14/24,AJ$9&lt;20/24)</formula>
    </cfRule>
    <cfRule type="expression" dxfId="3544" priority="133">
      <formula>AND(AJ$9&gt;=8/24,AJ$9&lt;14/24)</formula>
    </cfRule>
    <cfRule type="expression" dxfId="3543" priority="134">
      <formula>AJ$9&lt;8/24</formula>
    </cfRule>
  </conditionalFormatting>
  <conditionalFormatting sqref="AL80:AN80 AL86:AN86">
    <cfRule type="expression" dxfId="3542" priority="75">
      <formula>AL$9&lt;8/24</formula>
    </cfRule>
    <cfRule type="expression" dxfId="3541" priority="74">
      <formula>AND(AL$9&gt;=8/24,AL$9&lt;14/24)</formula>
    </cfRule>
    <cfRule type="expression" dxfId="3540" priority="73">
      <formula>AND(AL$9&gt;=14/24,AL$9&lt;20/24)</formula>
    </cfRule>
    <cfRule type="expression" dxfId="3539" priority="72">
      <formula>AL$9&gt;=20/24</formula>
    </cfRule>
  </conditionalFormatting>
  <conditionalFormatting sqref="AN81:AN84">
    <cfRule type="expression" dxfId="3538" priority="71">
      <formula>AN$9&lt;8/24</formula>
    </cfRule>
    <cfRule type="expression" dxfId="3537" priority="69">
      <formula>AND(AN$9&gt;=14/24,AN$9&lt;20/24)</formula>
    </cfRule>
    <cfRule type="expression" dxfId="3536" priority="70">
      <formula>AND(AN$9&gt;=8/24,AN$9&lt;14/24)</formula>
    </cfRule>
    <cfRule type="expression" dxfId="3535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ECF3A-AD3D-4C5A-B3B9-27F69E2B7CDD}">
  <sheetPr codeName="Sheet5"/>
  <dimension ref="A1:CJ281"/>
  <sheetViews>
    <sheetView workbookViewId="0">
      <pane xSplit="1" ySplit="10" topLeftCell="M72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3" sqref="B73:AF7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" style="1" bestFit="1" customWidth="1"/>
    <col min="12" max="12" width="6.42578125" style="1" bestFit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2080/05/4</v>
      </c>
      <c r="C4" s="196"/>
      <c r="D4" s="196"/>
      <c r="E4" s="197" t="str">
        <f ca="1">"2080/"&amp;"05/"&amp;INT(MID(CELL("filename",G6),FIND("]",CELL("filename",G6))+1,200))</f>
        <v>2080/05/4</v>
      </c>
      <c r="F4" s="197"/>
      <c r="G4" s="197"/>
      <c r="H4" s="197" t="str">
        <f ca="1">TEXT(E4,"dddd")</f>
        <v>Saturday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9.6999999999999993</v>
      </c>
      <c r="C5" s="30">
        <f t="shared" si="0"/>
        <v>8.4</v>
      </c>
      <c r="D5" s="30">
        <f t="shared" si="0"/>
        <v>5</v>
      </c>
      <c r="E5" s="30">
        <f t="shared" si="0"/>
        <v>5</v>
      </c>
      <c r="F5" s="30">
        <f t="shared" si="0"/>
        <v>5</v>
      </c>
      <c r="G5" s="30">
        <f t="shared" si="0"/>
        <v>5</v>
      </c>
      <c r="H5" s="30">
        <f t="shared" si="0"/>
        <v>5</v>
      </c>
      <c r="I5" s="30">
        <f t="shared" si="0"/>
        <v>5</v>
      </c>
      <c r="J5" s="30">
        <f t="shared" si="0"/>
        <v>5</v>
      </c>
      <c r="K5" s="30">
        <f t="shared" si="0"/>
        <v>24.2</v>
      </c>
      <c r="L5" s="30">
        <f t="shared" si="0"/>
        <v>14</v>
      </c>
      <c r="M5" s="30">
        <f t="shared" si="0"/>
        <v>10.7</v>
      </c>
      <c r="N5" s="30">
        <f t="shared" si="0"/>
        <v>17.399999999999999</v>
      </c>
      <c r="O5" s="30">
        <f t="shared" si="0"/>
        <v>17.399999999999999</v>
      </c>
      <c r="P5" s="30">
        <f t="shared" si="0"/>
        <v>24.3</v>
      </c>
      <c r="Q5" s="30">
        <f t="shared" si="0"/>
        <v>14.2</v>
      </c>
      <c r="R5" s="30">
        <f t="shared" si="0"/>
        <v>14.2</v>
      </c>
      <c r="S5" s="30">
        <f t="shared" si="0"/>
        <v>14.2</v>
      </c>
      <c r="T5" s="30">
        <f t="shared" si="0"/>
        <v>14.2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22.6</v>
      </c>
      <c r="AB5" s="30">
        <f t="shared" si="0"/>
        <v>12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6.9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2001MW at 6:00hr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Load=621</v>
      </c>
      <c r="B7" s="35">
        <f t="shared" ref="B7:AF7" si="1">B91</f>
        <v>1984.74</v>
      </c>
      <c r="C7" s="35">
        <f t="shared" si="1"/>
        <v>1975.6400000000003</v>
      </c>
      <c r="D7" s="35">
        <f t="shared" si="1"/>
        <v>1950.5400000000002</v>
      </c>
      <c r="E7" s="35">
        <f t="shared" si="1"/>
        <v>1912.54</v>
      </c>
      <c r="F7" s="35">
        <f t="shared" si="1"/>
        <v>1893.1800000000003</v>
      </c>
      <c r="G7" s="35">
        <f t="shared" si="1"/>
        <v>1938.08</v>
      </c>
      <c r="H7" s="35">
        <f t="shared" si="1"/>
        <v>1974.12</v>
      </c>
      <c r="I7" s="35">
        <f t="shared" si="1"/>
        <v>2000.78</v>
      </c>
      <c r="J7" s="35">
        <f t="shared" si="1"/>
        <v>1020.94</v>
      </c>
      <c r="K7" s="35">
        <f t="shared" si="1"/>
        <v>620.94000000000005</v>
      </c>
      <c r="L7" s="35">
        <f t="shared" si="1"/>
        <v>1943.0800000000002</v>
      </c>
      <c r="M7" s="35">
        <f t="shared" si="1"/>
        <v>1977.6399999999999</v>
      </c>
      <c r="N7" s="35">
        <f>N91</f>
        <v>1940.04</v>
      </c>
      <c r="O7" s="35">
        <f t="shared" si="1"/>
        <v>1995.14</v>
      </c>
      <c r="P7" s="35">
        <f t="shared" si="1"/>
        <v>1993.94</v>
      </c>
      <c r="Q7" s="35">
        <f t="shared" si="1"/>
        <v>1950.4399999999998</v>
      </c>
      <c r="R7" s="35">
        <f t="shared" si="1"/>
        <v>1887.14</v>
      </c>
      <c r="S7" s="35">
        <f t="shared" si="1"/>
        <v>1898.84</v>
      </c>
      <c r="T7" s="35">
        <f t="shared" si="1"/>
        <v>1923.94</v>
      </c>
      <c r="U7" s="35">
        <f t="shared" si="1"/>
        <v>1929.94</v>
      </c>
      <c r="V7" s="35">
        <f t="shared" si="1"/>
        <v>1884.7400000000002</v>
      </c>
      <c r="W7" s="35">
        <f t="shared" si="1"/>
        <v>1884.7400000000002</v>
      </c>
      <c r="X7" s="35">
        <f t="shared" si="1"/>
        <v>1884.14</v>
      </c>
      <c r="Y7" s="35">
        <f t="shared" si="1"/>
        <v>1926.54</v>
      </c>
      <c r="Z7" s="35">
        <f t="shared" si="1"/>
        <v>1980.94</v>
      </c>
      <c r="AA7" s="35">
        <f t="shared" si="1"/>
        <v>1988.94</v>
      </c>
      <c r="AB7" s="35">
        <f t="shared" si="1"/>
        <v>2026.34</v>
      </c>
      <c r="AC7" s="35">
        <f t="shared" si="1"/>
        <v>2015.74</v>
      </c>
      <c r="AD7" s="35">
        <f t="shared" si="1"/>
        <v>2014.44</v>
      </c>
      <c r="AE7" s="35">
        <f t="shared" si="1"/>
        <v>2004.1399999999999</v>
      </c>
      <c r="AF7" s="35">
        <f t="shared" si="1"/>
        <v>1892.3400000000001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86</v>
      </c>
      <c r="G11" s="45">
        <v>86</v>
      </c>
      <c r="H11" s="45">
        <v>89.8</v>
      </c>
      <c r="I11" s="45">
        <v>90</v>
      </c>
      <c r="J11" s="45"/>
      <c r="K11" s="45"/>
      <c r="L11" s="45">
        <v>90</v>
      </c>
      <c r="M11" s="45">
        <v>90</v>
      </c>
      <c r="N11" s="45">
        <v>90</v>
      </c>
      <c r="O11" s="45">
        <v>90.2</v>
      </c>
      <c r="P11" s="45">
        <v>90.2</v>
      </c>
      <c r="Q11" s="45">
        <v>90.3</v>
      </c>
      <c r="R11" s="45">
        <v>90.3</v>
      </c>
      <c r="S11" s="45">
        <v>90.3</v>
      </c>
      <c r="T11" s="45">
        <v>90.3</v>
      </c>
      <c r="U11" s="45">
        <v>90.3</v>
      </c>
      <c r="V11" s="45">
        <v>90.3</v>
      </c>
      <c r="W11" s="45">
        <v>90.3</v>
      </c>
      <c r="X11" s="45">
        <v>90.3</v>
      </c>
      <c r="Y11" s="45">
        <v>90.3</v>
      </c>
      <c r="Z11" s="45">
        <v>90.3</v>
      </c>
      <c r="AA11" s="45">
        <v>90.3</v>
      </c>
      <c r="AB11" s="45">
        <v>90.6</v>
      </c>
      <c r="AC11" s="45">
        <v>90.6</v>
      </c>
      <c r="AD11" s="45">
        <v>90.6</v>
      </c>
      <c r="AE11" s="45">
        <v>90.6</v>
      </c>
      <c r="AF11" s="45">
        <v>90.6</v>
      </c>
      <c r="AG11" s="46">
        <v>86</v>
      </c>
      <c r="AH11" s="47">
        <f t="shared" ref="AH11:AH76" si="2">MAX(B11:AF11)</f>
        <v>90.6</v>
      </c>
      <c r="AI11" s="48">
        <f t="shared" ref="AI11:AI76" si="3">MIN(B11:AF11)</f>
        <v>86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0</v>
      </c>
      <c r="G12" s="45">
        <v>0</v>
      </c>
      <c r="H12" s="45">
        <v>0</v>
      </c>
      <c r="I12" s="45">
        <v>5</v>
      </c>
      <c r="J12" s="45"/>
      <c r="K12" s="45"/>
      <c r="L12" s="45">
        <v>5</v>
      </c>
      <c r="M12" s="45">
        <v>5</v>
      </c>
      <c r="N12" s="45">
        <v>5</v>
      </c>
      <c r="O12" s="45">
        <v>5</v>
      </c>
      <c r="P12" s="45">
        <v>13</v>
      </c>
      <c r="Q12" s="45">
        <v>5</v>
      </c>
      <c r="R12" s="45">
        <v>5</v>
      </c>
      <c r="S12" s="45">
        <v>5</v>
      </c>
      <c r="T12" s="45">
        <v>5</v>
      </c>
      <c r="U12" s="45">
        <v>5</v>
      </c>
      <c r="V12" s="45">
        <v>8</v>
      </c>
      <c r="W12" s="45">
        <v>8</v>
      </c>
      <c r="X12" s="45">
        <v>8</v>
      </c>
      <c r="Y12" s="45">
        <v>8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54.7</v>
      </c>
      <c r="C13" s="45">
        <v>54.7</v>
      </c>
      <c r="D13" s="45">
        <v>54.7</v>
      </c>
      <c r="E13" s="45">
        <v>54.7</v>
      </c>
      <c r="F13" s="45">
        <v>54.8</v>
      </c>
      <c r="G13" s="45">
        <v>54.8</v>
      </c>
      <c r="H13" s="45">
        <v>54.8</v>
      </c>
      <c r="I13" s="45">
        <v>54.8</v>
      </c>
      <c r="J13" s="45"/>
      <c r="K13" s="45"/>
      <c r="L13" s="45">
        <v>54.8</v>
      </c>
      <c r="M13" s="45">
        <v>54.6</v>
      </c>
      <c r="N13" s="45">
        <v>54.6</v>
      </c>
      <c r="O13" s="45">
        <v>54.6</v>
      </c>
      <c r="P13" s="45">
        <v>54.6</v>
      </c>
      <c r="Q13" s="45">
        <v>54.7</v>
      </c>
      <c r="R13" s="45">
        <v>54.7</v>
      </c>
      <c r="S13" s="45">
        <v>54.7</v>
      </c>
      <c r="T13" s="45">
        <v>54.7</v>
      </c>
      <c r="U13" s="45">
        <v>54.7</v>
      </c>
      <c r="V13" s="45">
        <v>54.7</v>
      </c>
      <c r="W13" s="45">
        <v>54.7</v>
      </c>
      <c r="X13" s="45">
        <v>54.7</v>
      </c>
      <c r="Y13" s="45">
        <v>54.7</v>
      </c>
      <c r="Z13" s="45">
        <v>54.7</v>
      </c>
      <c r="AA13" s="45">
        <v>54.7</v>
      </c>
      <c r="AB13" s="45">
        <v>54.6</v>
      </c>
      <c r="AC13" s="45">
        <v>54.6</v>
      </c>
      <c r="AD13" s="45">
        <v>54.6</v>
      </c>
      <c r="AE13" s="45">
        <v>54.6</v>
      </c>
      <c r="AF13" s="45">
        <v>54.6</v>
      </c>
      <c r="AG13" s="46">
        <v>52.4</v>
      </c>
      <c r="AH13" s="47">
        <f t="shared" si="2"/>
        <v>54.8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</v>
      </c>
      <c r="C14" s="45">
        <v>50</v>
      </c>
      <c r="D14" s="45">
        <v>50</v>
      </c>
      <c r="E14" s="58">
        <v>0</v>
      </c>
      <c r="F14" s="58">
        <v>50.4</v>
      </c>
      <c r="G14" s="58">
        <v>50.5</v>
      </c>
      <c r="H14" s="58">
        <v>50.4</v>
      </c>
      <c r="I14" s="58">
        <v>50.4</v>
      </c>
      <c r="J14" s="58"/>
      <c r="K14" s="58"/>
      <c r="L14" s="58">
        <v>50.4</v>
      </c>
      <c r="M14" s="58">
        <v>50.5</v>
      </c>
      <c r="N14" s="58">
        <v>39.799999999999997</v>
      </c>
      <c r="O14" s="58">
        <v>59.5</v>
      </c>
      <c r="P14" s="58">
        <v>59.5</v>
      </c>
      <c r="Q14" s="58">
        <v>50.5</v>
      </c>
      <c r="R14" s="58">
        <v>50.6</v>
      </c>
      <c r="S14" s="58">
        <v>50.6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45">
        <v>0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59.5</v>
      </c>
      <c r="AI14" s="48">
        <f t="shared" si="3"/>
        <v>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36.200000000000003</v>
      </c>
      <c r="C15" s="45">
        <v>36.200000000000003</v>
      </c>
      <c r="D15" s="45">
        <v>36.200000000000003</v>
      </c>
      <c r="E15" s="45">
        <v>36</v>
      </c>
      <c r="F15" s="45">
        <v>37</v>
      </c>
      <c r="G15" s="45">
        <v>37</v>
      </c>
      <c r="H15" s="45">
        <v>45.2</v>
      </c>
      <c r="I15" s="45">
        <v>45.2</v>
      </c>
      <c r="J15" s="45"/>
      <c r="K15" s="45"/>
      <c r="L15" s="45">
        <v>45.2</v>
      </c>
      <c r="M15" s="45">
        <v>30.7</v>
      </c>
      <c r="N15" s="45">
        <v>30.7</v>
      </c>
      <c r="O15" s="45">
        <v>41.2</v>
      </c>
      <c r="P15" s="45">
        <v>41.2</v>
      </c>
      <c r="Q15" s="45">
        <v>41.2</v>
      </c>
      <c r="R15" s="45">
        <v>41.1</v>
      </c>
      <c r="S15" s="45">
        <v>41.1</v>
      </c>
      <c r="T15" s="45">
        <v>41.1</v>
      </c>
      <c r="U15" s="45">
        <v>41.1</v>
      </c>
      <c r="V15" s="45">
        <v>41.1</v>
      </c>
      <c r="W15" s="45">
        <v>41.1</v>
      </c>
      <c r="X15" s="45">
        <v>41.1</v>
      </c>
      <c r="Y15" s="45">
        <v>41.1</v>
      </c>
      <c r="Z15" s="45">
        <v>41.1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36</v>
      </c>
      <c r="AF15" s="45">
        <v>36</v>
      </c>
      <c r="AG15" s="49">
        <v>45</v>
      </c>
      <c r="AH15" s="47">
        <f t="shared" si="2"/>
        <v>46.3</v>
      </c>
      <c r="AI15" s="48">
        <f t="shared" si="3"/>
        <v>30.7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0</v>
      </c>
      <c r="F16" s="45">
        <v>30</v>
      </c>
      <c r="G16" s="45">
        <v>44</v>
      </c>
      <c r="H16" s="45">
        <v>44</v>
      </c>
      <c r="I16" s="45">
        <v>44</v>
      </c>
      <c r="J16" s="45"/>
      <c r="K16" s="45"/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42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29.5</v>
      </c>
      <c r="C17" s="45">
        <v>29.5</v>
      </c>
      <c r="D17" s="45">
        <v>29.5</v>
      </c>
      <c r="E17" s="45">
        <v>0</v>
      </c>
      <c r="F17" s="45">
        <v>21</v>
      </c>
      <c r="G17" s="45">
        <v>26.2</v>
      </c>
      <c r="H17" s="45">
        <v>27.74</v>
      </c>
      <c r="I17" s="45">
        <v>29</v>
      </c>
      <c r="J17" s="45"/>
      <c r="K17" s="45"/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26</v>
      </c>
      <c r="AG17" s="49">
        <v>42</v>
      </c>
      <c r="AH17" s="47">
        <f t="shared" si="2"/>
        <v>29.5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38.54</v>
      </c>
      <c r="G18" s="45">
        <v>38.54</v>
      </c>
      <c r="H18" s="45">
        <v>38.54</v>
      </c>
      <c r="I18" s="45">
        <v>38.54</v>
      </c>
      <c r="J18" s="45"/>
      <c r="K18" s="45"/>
      <c r="L18" s="45">
        <v>38.54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38.54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/>
      <c r="K19" s="45"/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8.8000000000000007</v>
      </c>
      <c r="C20" s="45">
        <v>6</v>
      </c>
      <c r="D20" s="45">
        <v>6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/>
      <c r="K20" s="45"/>
      <c r="L20" s="45">
        <v>5</v>
      </c>
      <c r="M20" s="45">
        <v>15</v>
      </c>
      <c r="N20" s="45">
        <v>5.8</v>
      </c>
      <c r="O20" s="45">
        <v>5.8</v>
      </c>
      <c r="P20" s="45">
        <v>15</v>
      </c>
      <c r="Q20" s="45">
        <v>5</v>
      </c>
      <c r="R20" s="45">
        <v>5</v>
      </c>
      <c r="S20" s="45">
        <v>5</v>
      </c>
      <c r="T20" s="45">
        <v>15</v>
      </c>
      <c r="U20" s="45">
        <v>15</v>
      </c>
      <c r="V20" s="45">
        <v>15</v>
      </c>
      <c r="W20" s="45">
        <v>15</v>
      </c>
      <c r="X20" s="45">
        <v>15</v>
      </c>
      <c r="Y20" s="45">
        <v>15</v>
      </c>
      <c r="Z20" s="45">
        <v>15</v>
      </c>
      <c r="AA20" s="45">
        <v>15</v>
      </c>
      <c r="AB20" s="45">
        <v>5</v>
      </c>
      <c r="AC20" s="45">
        <v>5</v>
      </c>
      <c r="AD20" s="45">
        <v>5</v>
      </c>
      <c r="AE20" s="45">
        <v>5</v>
      </c>
      <c r="AF20" s="45">
        <v>0</v>
      </c>
      <c r="AG20" s="51">
        <v>30</v>
      </c>
      <c r="AH20" s="47">
        <f t="shared" si="2"/>
        <v>15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</v>
      </c>
      <c r="C21" s="45">
        <v>25</v>
      </c>
      <c r="D21" s="45">
        <v>25</v>
      </c>
      <c r="E21" s="45">
        <v>25.8</v>
      </c>
      <c r="F21" s="45">
        <v>25.3</v>
      </c>
      <c r="G21" s="45">
        <v>25.3</v>
      </c>
      <c r="H21" s="45">
        <v>25.3</v>
      </c>
      <c r="I21" s="45">
        <v>33</v>
      </c>
      <c r="J21" s="45"/>
      <c r="K21" s="45"/>
      <c r="L21" s="45">
        <v>33</v>
      </c>
      <c r="M21" s="45">
        <v>10.7</v>
      </c>
      <c r="N21" s="45">
        <v>10.7</v>
      </c>
      <c r="O21" s="45">
        <v>28.9</v>
      </c>
      <c r="P21" s="45">
        <v>28.9</v>
      </c>
      <c r="Q21" s="45">
        <v>28.9</v>
      </c>
      <c r="R21" s="45">
        <v>28</v>
      </c>
      <c r="S21" s="45">
        <v>28</v>
      </c>
      <c r="T21" s="45">
        <v>28</v>
      </c>
      <c r="U21" s="45">
        <v>28</v>
      </c>
      <c r="V21" s="45">
        <v>28</v>
      </c>
      <c r="W21" s="45">
        <v>28</v>
      </c>
      <c r="X21" s="45">
        <v>28</v>
      </c>
      <c r="Y21" s="45">
        <v>28</v>
      </c>
      <c r="Z21" s="45">
        <v>28</v>
      </c>
      <c r="AA21" s="45">
        <v>28</v>
      </c>
      <c r="AB21" s="45">
        <v>28</v>
      </c>
      <c r="AC21" s="45">
        <v>28</v>
      </c>
      <c r="AD21" s="45">
        <v>28</v>
      </c>
      <c r="AE21" s="45">
        <v>28</v>
      </c>
      <c r="AF21" s="45">
        <v>28</v>
      </c>
      <c r="AG21" s="49">
        <v>24.2</v>
      </c>
      <c r="AH21" s="47">
        <f t="shared" si="2"/>
        <v>33</v>
      </c>
      <c r="AI21" s="48">
        <f t="shared" si="3"/>
        <v>10.7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28.3</v>
      </c>
      <c r="C22" s="45">
        <v>28.3</v>
      </c>
      <c r="D22" s="45">
        <v>28.3</v>
      </c>
      <c r="E22" s="45">
        <v>28.4</v>
      </c>
      <c r="F22" s="45">
        <v>28.4</v>
      </c>
      <c r="G22" s="45">
        <v>28.4</v>
      </c>
      <c r="H22" s="45">
        <v>28.4</v>
      </c>
      <c r="I22" s="45">
        <v>28.4</v>
      </c>
      <c r="J22" s="45"/>
      <c r="K22" s="45"/>
      <c r="L22" s="45">
        <v>28.4</v>
      </c>
      <c r="M22" s="45">
        <v>15.4</v>
      </c>
      <c r="N22" s="45">
        <v>15.4</v>
      </c>
      <c r="O22" s="45">
        <v>15.4</v>
      </c>
      <c r="P22" s="45">
        <v>15.4</v>
      </c>
      <c r="Q22" s="45">
        <v>15.4</v>
      </c>
      <c r="R22" s="45">
        <v>20</v>
      </c>
      <c r="S22" s="45">
        <v>20</v>
      </c>
      <c r="T22" s="45">
        <v>20</v>
      </c>
      <c r="U22" s="45">
        <v>20</v>
      </c>
      <c r="V22" s="45">
        <v>20</v>
      </c>
      <c r="W22" s="45">
        <v>20</v>
      </c>
      <c r="X22" s="45">
        <v>20</v>
      </c>
      <c r="Y22" s="45">
        <v>20</v>
      </c>
      <c r="Z22" s="45">
        <v>20</v>
      </c>
      <c r="AA22" s="45">
        <v>20</v>
      </c>
      <c r="AB22" s="45">
        <v>20</v>
      </c>
      <c r="AC22" s="45">
        <v>20</v>
      </c>
      <c r="AD22" s="45">
        <v>20</v>
      </c>
      <c r="AE22" s="45">
        <v>20</v>
      </c>
      <c r="AF22" s="45">
        <v>20</v>
      </c>
      <c r="AG22" s="49">
        <v>28</v>
      </c>
      <c r="AH22" s="47">
        <f t="shared" si="2"/>
        <v>28.4</v>
      </c>
      <c r="AI22" s="48">
        <f t="shared" si="3"/>
        <v>15.4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6</v>
      </c>
      <c r="C23" s="45">
        <v>6</v>
      </c>
      <c r="D23" s="45">
        <v>6</v>
      </c>
      <c r="E23" s="45">
        <v>0</v>
      </c>
      <c r="F23" s="45">
        <v>0</v>
      </c>
      <c r="G23" s="45">
        <v>0</v>
      </c>
      <c r="H23" s="45">
        <v>0</v>
      </c>
      <c r="I23" s="45">
        <v>5</v>
      </c>
      <c r="J23" s="45"/>
      <c r="K23" s="45"/>
      <c r="L23" s="45">
        <v>5</v>
      </c>
      <c r="M23" s="45">
        <v>5</v>
      </c>
      <c r="N23" s="45">
        <v>5</v>
      </c>
      <c r="O23" s="45">
        <v>5</v>
      </c>
      <c r="P23" s="45">
        <v>13.5</v>
      </c>
      <c r="Q23" s="45">
        <v>5</v>
      </c>
      <c r="R23" s="45">
        <v>5</v>
      </c>
      <c r="S23" s="45">
        <v>5</v>
      </c>
      <c r="T23" s="45">
        <v>5</v>
      </c>
      <c r="U23" s="45">
        <v>5</v>
      </c>
      <c r="V23" s="45">
        <v>5</v>
      </c>
      <c r="W23" s="45">
        <v>5</v>
      </c>
      <c r="X23" s="45">
        <v>5</v>
      </c>
      <c r="Y23" s="45">
        <v>5</v>
      </c>
      <c r="Z23" s="45">
        <v>13.5</v>
      </c>
      <c r="AA23" s="45">
        <v>13.5</v>
      </c>
      <c r="AB23" s="45">
        <v>5</v>
      </c>
      <c r="AC23" s="45">
        <v>5</v>
      </c>
      <c r="AD23" s="45">
        <v>5</v>
      </c>
      <c r="AE23" s="45">
        <v>5</v>
      </c>
      <c r="AF23" s="45">
        <v>0</v>
      </c>
      <c r="AG23" s="51">
        <v>30</v>
      </c>
      <c r="AH23" s="47">
        <f t="shared" si="2"/>
        <v>13.5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24.4</v>
      </c>
      <c r="C24" s="45">
        <v>24.4</v>
      </c>
      <c r="D24" s="45">
        <v>24.4</v>
      </c>
      <c r="E24" s="45">
        <v>0</v>
      </c>
      <c r="F24" s="45">
        <v>24</v>
      </c>
      <c r="G24" s="45">
        <v>24</v>
      </c>
      <c r="H24" s="45">
        <v>24</v>
      </c>
      <c r="I24" s="45">
        <v>24</v>
      </c>
      <c r="J24" s="45"/>
      <c r="K24" s="45"/>
      <c r="L24" s="45">
        <v>24</v>
      </c>
      <c r="M24" s="45">
        <v>26</v>
      </c>
      <c r="N24" s="45">
        <v>26</v>
      </c>
      <c r="O24" s="45">
        <v>26</v>
      </c>
      <c r="P24" s="45">
        <v>26</v>
      </c>
      <c r="Q24" s="45">
        <v>25.3</v>
      </c>
      <c r="R24" s="45">
        <v>24</v>
      </c>
      <c r="S24" s="45">
        <v>24</v>
      </c>
      <c r="T24" s="45">
        <v>24</v>
      </c>
      <c r="U24" s="45">
        <v>24</v>
      </c>
      <c r="V24" s="45">
        <v>24</v>
      </c>
      <c r="W24" s="45">
        <v>24</v>
      </c>
      <c r="X24" s="45">
        <v>24</v>
      </c>
      <c r="Y24" s="45">
        <v>24</v>
      </c>
      <c r="Z24" s="45">
        <v>24</v>
      </c>
      <c r="AA24" s="45">
        <v>26.2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23</v>
      </c>
      <c r="AG24" s="49">
        <v>25</v>
      </c>
      <c r="AH24" s="47">
        <f t="shared" si="2"/>
        <v>26.2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/>
      <c r="K25" s="45"/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/>
      <c r="K26" s="45"/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0</v>
      </c>
      <c r="F27" s="45">
        <v>0</v>
      </c>
      <c r="G27" s="45">
        <v>0</v>
      </c>
      <c r="H27" s="45">
        <v>0</v>
      </c>
      <c r="I27" s="45">
        <v>5</v>
      </c>
      <c r="J27" s="45"/>
      <c r="K27" s="45"/>
      <c r="L27" s="45">
        <v>5</v>
      </c>
      <c r="M27" s="45">
        <v>5</v>
      </c>
      <c r="N27" s="45">
        <v>5</v>
      </c>
      <c r="O27" s="45">
        <v>15</v>
      </c>
      <c r="P27" s="45">
        <v>15</v>
      </c>
      <c r="Q27" s="45">
        <v>5</v>
      </c>
      <c r="R27" s="45">
        <v>5</v>
      </c>
      <c r="S27" s="45">
        <v>5</v>
      </c>
      <c r="T27" s="45">
        <v>5</v>
      </c>
      <c r="U27" s="45">
        <v>5</v>
      </c>
      <c r="V27" s="45">
        <v>5</v>
      </c>
      <c r="W27" s="45">
        <v>5</v>
      </c>
      <c r="X27" s="45">
        <v>5</v>
      </c>
      <c r="Y27" s="45">
        <v>5</v>
      </c>
      <c r="Z27" s="45">
        <v>5</v>
      </c>
      <c r="AA27" s="45">
        <v>5</v>
      </c>
      <c r="AB27" s="45">
        <v>5</v>
      </c>
      <c r="AC27" s="45">
        <v>5</v>
      </c>
      <c r="AD27" s="45">
        <v>5</v>
      </c>
      <c r="AE27" s="45">
        <v>5</v>
      </c>
      <c r="AF27" s="45">
        <v>0</v>
      </c>
      <c r="AG27" s="49">
        <v>25</v>
      </c>
      <c r="AH27" s="47">
        <f t="shared" si="2"/>
        <v>15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25.3</v>
      </c>
      <c r="E28" s="45">
        <v>25.4</v>
      </c>
      <c r="F28" s="45">
        <v>25.4</v>
      </c>
      <c r="G28" s="45">
        <v>25.4</v>
      </c>
      <c r="H28" s="45">
        <v>25.4</v>
      </c>
      <c r="I28" s="45">
        <v>25.4</v>
      </c>
      <c r="J28" s="45"/>
      <c r="K28" s="45"/>
      <c r="L28" s="45">
        <v>25.4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25.4</v>
      </c>
      <c r="AI28" s="48">
        <f t="shared" si="3"/>
        <v>25.3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/>
      <c r="K29" s="45"/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/>
      <c r="K30" s="45"/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/>
      <c r="K31" s="45"/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/>
      <c r="K32" s="45"/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0</v>
      </c>
      <c r="F33" s="45">
        <v>0</v>
      </c>
      <c r="G33" s="45">
        <v>0</v>
      </c>
      <c r="H33" s="45">
        <v>0</v>
      </c>
      <c r="I33" s="45">
        <v>5</v>
      </c>
      <c r="J33" s="45"/>
      <c r="K33" s="45"/>
      <c r="L33" s="45">
        <v>5</v>
      </c>
      <c r="M33" s="45">
        <v>5</v>
      </c>
      <c r="N33" s="45">
        <v>5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4</v>
      </c>
      <c r="AB33" s="45">
        <v>4</v>
      </c>
      <c r="AC33" s="45">
        <v>4</v>
      </c>
      <c r="AD33" s="45">
        <v>4</v>
      </c>
      <c r="AE33" s="45">
        <v>4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5</v>
      </c>
      <c r="J34" s="45"/>
      <c r="K34" s="45"/>
      <c r="L34" s="45">
        <v>5</v>
      </c>
      <c r="M34" s="45">
        <v>5</v>
      </c>
      <c r="N34" s="45">
        <v>5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4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/>
      <c r="K35" s="45"/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/>
      <c r="K36" s="45"/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0</v>
      </c>
      <c r="F37" s="45">
        <v>6.5</v>
      </c>
      <c r="G37" s="45">
        <v>6.5</v>
      </c>
      <c r="H37" s="45">
        <v>6.5</v>
      </c>
      <c r="I37" s="45">
        <v>6.5</v>
      </c>
      <c r="J37" s="45"/>
      <c r="K37" s="45"/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0</v>
      </c>
      <c r="F38" s="45">
        <v>6</v>
      </c>
      <c r="G38" s="45">
        <v>6</v>
      </c>
      <c r="H38" s="45">
        <v>6</v>
      </c>
      <c r="I38" s="45">
        <v>6</v>
      </c>
      <c r="J38" s="45"/>
      <c r="K38" s="45"/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0</v>
      </c>
      <c r="F39" s="45">
        <v>0</v>
      </c>
      <c r="G39" s="45">
        <v>0</v>
      </c>
      <c r="H39" s="45">
        <v>0</v>
      </c>
      <c r="I39" s="45">
        <v>3</v>
      </c>
      <c r="J39" s="45"/>
      <c r="K39" s="45"/>
      <c r="L39" s="45">
        <v>3</v>
      </c>
      <c r="M39" s="45">
        <v>3</v>
      </c>
      <c r="N39" s="45">
        <v>3</v>
      </c>
      <c r="O39" s="45">
        <v>3</v>
      </c>
      <c r="P39" s="45">
        <v>6</v>
      </c>
      <c r="Q39" s="45">
        <v>3</v>
      </c>
      <c r="R39" s="45">
        <v>3</v>
      </c>
      <c r="S39" s="45">
        <v>3</v>
      </c>
      <c r="T39" s="45">
        <v>3</v>
      </c>
      <c r="U39" s="45">
        <v>3</v>
      </c>
      <c r="V39" s="45">
        <v>3</v>
      </c>
      <c r="W39" s="45">
        <v>3</v>
      </c>
      <c r="X39" s="45">
        <v>3</v>
      </c>
      <c r="Y39" s="45">
        <v>3</v>
      </c>
      <c r="Z39" s="45">
        <v>6</v>
      </c>
      <c r="AA39" s="45">
        <v>6</v>
      </c>
      <c r="AB39" s="45">
        <v>2</v>
      </c>
      <c r="AC39" s="45">
        <v>2</v>
      </c>
      <c r="AD39" s="45">
        <v>2</v>
      </c>
      <c r="AE39" s="45">
        <v>2</v>
      </c>
      <c r="AF39" s="45">
        <v>0</v>
      </c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10</v>
      </c>
      <c r="C40" s="45">
        <v>10</v>
      </c>
      <c r="D40" s="45">
        <v>10</v>
      </c>
      <c r="E40" s="45">
        <v>10</v>
      </c>
      <c r="F40" s="45">
        <v>10</v>
      </c>
      <c r="G40" s="45">
        <v>10</v>
      </c>
      <c r="H40" s="45">
        <v>10</v>
      </c>
      <c r="I40" s="45">
        <v>10</v>
      </c>
      <c r="J40" s="45"/>
      <c r="K40" s="45"/>
      <c r="L40" s="45">
        <v>10</v>
      </c>
      <c r="M40" s="45">
        <v>10</v>
      </c>
      <c r="N40" s="45">
        <v>10</v>
      </c>
      <c r="O40" s="45">
        <v>10</v>
      </c>
      <c r="P40" s="45">
        <v>10</v>
      </c>
      <c r="Q40" s="45">
        <v>10</v>
      </c>
      <c r="R40" s="45">
        <v>10</v>
      </c>
      <c r="S40" s="45">
        <v>10</v>
      </c>
      <c r="T40" s="45">
        <v>10</v>
      </c>
      <c r="U40" s="45">
        <v>10</v>
      </c>
      <c r="V40" s="45">
        <v>10</v>
      </c>
      <c r="W40" s="45">
        <v>10</v>
      </c>
      <c r="X40" s="45">
        <v>10</v>
      </c>
      <c r="Y40" s="45">
        <v>10</v>
      </c>
      <c r="Z40" s="45">
        <v>10</v>
      </c>
      <c r="AA40" s="45">
        <v>10</v>
      </c>
      <c r="AB40" s="45">
        <v>8.5</v>
      </c>
      <c r="AC40" s="45">
        <v>8.5</v>
      </c>
      <c r="AD40" s="45">
        <v>8.5</v>
      </c>
      <c r="AE40" s="45">
        <v>8.5</v>
      </c>
      <c r="AF40" s="45">
        <v>8.5</v>
      </c>
      <c r="AG40" s="49">
        <v>12</v>
      </c>
      <c r="AH40" s="47">
        <f t="shared" si="2"/>
        <v>10</v>
      </c>
      <c r="AI40" s="48">
        <f t="shared" si="3"/>
        <v>8.5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/>
      <c r="K41" s="45"/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/>
      <c r="K42" s="45"/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0</v>
      </c>
      <c r="F43" s="45">
        <v>12</v>
      </c>
      <c r="G43" s="45">
        <v>12</v>
      </c>
      <c r="H43" s="45">
        <v>12</v>
      </c>
      <c r="I43" s="45">
        <v>12</v>
      </c>
      <c r="J43" s="45"/>
      <c r="K43" s="45"/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/>
      <c r="K44" s="45"/>
      <c r="L44" s="45">
        <v>10</v>
      </c>
      <c r="M44" s="45">
        <v>10</v>
      </c>
      <c r="N44" s="45">
        <v>10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0</v>
      </c>
      <c r="F45" s="45">
        <v>8</v>
      </c>
      <c r="G45" s="45">
        <v>8</v>
      </c>
      <c r="H45" s="45">
        <v>8</v>
      </c>
      <c r="I45" s="45">
        <v>8</v>
      </c>
      <c r="J45" s="45"/>
      <c r="K45" s="45"/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/>
      <c r="K46" s="45"/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/>
      <c r="K47" s="45"/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250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/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250</v>
      </c>
      <c r="AK48" s="50"/>
    </row>
    <row r="49" spans="1:41" ht="15.75" thickBot="1" x14ac:dyDescent="0.3">
      <c r="A49" s="57" t="s">
        <v>57</v>
      </c>
      <c r="B49" s="56">
        <f>25.3+76.4</f>
        <v>101.7</v>
      </c>
      <c r="C49" s="56">
        <f>25.3+76.4</f>
        <v>101.7</v>
      </c>
      <c r="D49" s="56">
        <f>25.3+76.4</f>
        <v>101.7</v>
      </c>
      <c r="E49" s="58">
        <v>104</v>
      </c>
      <c r="F49" s="58">
        <v>105</v>
      </c>
      <c r="G49" s="58">
        <v>105</v>
      </c>
      <c r="H49" s="58">
        <v>105</v>
      </c>
      <c r="I49" s="58">
        <v>105</v>
      </c>
      <c r="J49" s="58">
        <v>105</v>
      </c>
      <c r="K49" s="58"/>
      <c r="L49" s="58">
        <v>105</v>
      </c>
      <c r="M49" s="58">
        <f>77.2+25.4</f>
        <v>102.6</v>
      </c>
      <c r="N49" s="58">
        <f>77.9+26</f>
        <v>103.9</v>
      </c>
      <c r="O49" s="58">
        <f>78.1+26.2</f>
        <v>104.3</v>
      </c>
      <c r="P49" s="58">
        <f>79+26.5</f>
        <v>105.5</v>
      </c>
      <c r="Q49" s="58">
        <f>24.3+71.9</f>
        <v>96.2</v>
      </c>
      <c r="R49" s="58">
        <f t="shared" ref="R49:Z49" si="4">25.6+76.1</f>
        <v>101.69999999999999</v>
      </c>
      <c r="S49" s="58">
        <f t="shared" si="4"/>
        <v>101.69999999999999</v>
      </c>
      <c r="T49" s="58">
        <f t="shared" si="4"/>
        <v>101.69999999999999</v>
      </c>
      <c r="U49" s="58">
        <f t="shared" si="4"/>
        <v>101.69999999999999</v>
      </c>
      <c r="V49" s="58">
        <f t="shared" si="4"/>
        <v>101.69999999999999</v>
      </c>
      <c r="W49" s="58">
        <f t="shared" si="4"/>
        <v>101.69999999999999</v>
      </c>
      <c r="X49" s="58">
        <f t="shared" si="4"/>
        <v>101.69999999999999</v>
      </c>
      <c r="Y49" s="58">
        <f t="shared" si="4"/>
        <v>101.69999999999999</v>
      </c>
      <c r="Z49" s="58">
        <f t="shared" si="4"/>
        <v>101.69999999999999</v>
      </c>
      <c r="AA49" s="56">
        <v>101.69999999999999</v>
      </c>
      <c r="AB49" s="56">
        <v>101.69999999999999</v>
      </c>
      <c r="AC49" s="56">
        <v>101.69999999999999</v>
      </c>
      <c r="AD49" s="56">
        <v>101.69999999999999</v>
      </c>
      <c r="AE49" s="56">
        <v>101.69999999999999</v>
      </c>
      <c r="AF49" s="56">
        <v>101.69999999999999</v>
      </c>
      <c r="AG49" s="54">
        <v>240</v>
      </c>
      <c r="AH49" s="47">
        <f t="shared" si="2"/>
        <v>105.5</v>
      </c>
      <c r="AI49" s="48">
        <f t="shared" si="3"/>
        <v>96.2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1058.2</v>
      </c>
      <c r="C50" s="60">
        <f t="shared" si="5"/>
        <v>1055.4000000000001</v>
      </c>
      <c r="D50" s="60">
        <f t="shared" si="5"/>
        <v>1055.4000000000001</v>
      </c>
      <c r="E50" s="60">
        <f t="shared" si="5"/>
        <v>700.8</v>
      </c>
      <c r="F50" s="60">
        <f t="shared" si="5"/>
        <v>992.34</v>
      </c>
      <c r="G50" s="60">
        <f t="shared" si="5"/>
        <v>1011.64</v>
      </c>
      <c r="H50" s="60">
        <f t="shared" si="5"/>
        <v>1025.08</v>
      </c>
      <c r="I50" s="60">
        <f t="shared" si="5"/>
        <v>1067.24</v>
      </c>
      <c r="J50" s="60">
        <f t="shared" si="5"/>
        <v>400</v>
      </c>
      <c r="K50" s="60">
        <f t="shared" si="5"/>
        <v>0</v>
      </c>
      <c r="L50" s="60">
        <f>SUM(L11:L48)</f>
        <v>1067.24</v>
      </c>
      <c r="M50" s="60">
        <f t="shared" si="5"/>
        <v>1029.1999999999998</v>
      </c>
      <c r="N50" s="60">
        <f t="shared" si="5"/>
        <v>1009.3</v>
      </c>
      <c r="O50" s="60">
        <f t="shared" si="5"/>
        <v>1066.9000000000001</v>
      </c>
      <c r="P50" s="60">
        <f t="shared" si="5"/>
        <v>1095.5999999999999</v>
      </c>
      <c r="Q50" s="60">
        <f t="shared" si="5"/>
        <v>1046.5999999999999</v>
      </c>
      <c r="R50" s="60">
        <f t="shared" ref="R50:Y50" si="6">SUM(R11:R48)</f>
        <v>1049</v>
      </c>
      <c r="S50" s="60">
        <f t="shared" si="6"/>
        <v>1049</v>
      </c>
      <c r="T50" s="60">
        <f t="shared" si="6"/>
        <v>1007.4000000000001</v>
      </c>
      <c r="U50" s="60">
        <f t="shared" si="6"/>
        <v>1007.4000000000001</v>
      </c>
      <c r="V50" s="60">
        <f t="shared" si="6"/>
        <v>1010.4000000000001</v>
      </c>
      <c r="W50" s="60">
        <f t="shared" si="6"/>
        <v>1010.4000000000001</v>
      </c>
      <c r="X50" s="60">
        <f t="shared" si="6"/>
        <v>1010.4000000000001</v>
      </c>
      <c r="Y50" s="60">
        <f t="shared" si="6"/>
        <v>1012.4000000000001</v>
      </c>
      <c r="Z50" s="60">
        <f t="shared" si="5"/>
        <v>1028.9000000000001</v>
      </c>
      <c r="AA50" s="60">
        <f t="shared" si="5"/>
        <v>1036.3</v>
      </c>
      <c r="AB50" s="60">
        <f t="shared" si="5"/>
        <v>1061.3</v>
      </c>
      <c r="AC50" s="60">
        <f t="shared" si="5"/>
        <v>1061.3</v>
      </c>
      <c r="AD50" s="60">
        <f t="shared" si="5"/>
        <v>1061.3</v>
      </c>
      <c r="AE50" s="60">
        <f t="shared" si="5"/>
        <v>1051</v>
      </c>
      <c r="AF50" s="60">
        <f t="shared" si="5"/>
        <v>1007.5</v>
      </c>
      <c r="AG50" s="61">
        <f>SUM(AG13:AG48)</f>
        <v>922.14</v>
      </c>
      <c r="AH50" s="47">
        <f t="shared" si="2"/>
        <v>1095.5999999999999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400</v>
      </c>
      <c r="S51" s="45">
        <v>400</v>
      </c>
      <c r="T51" s="45">
        <v>420</v>
      </c>
      <c r="U51" s="45">
        <v>420</v>
      </c>
      <c r="V51" s="45">
        <v>420</v>
      </c>
      <c r="W51" s="45">
        <v>420</v>
      </c>
      <c r="X51" s="45">
        <v>420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400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55</v>
      </c>
      <c r="S52" s="64">
        <v>55</v>
      </c>
      <c r="T52" s="64">
        <v>55</v>
      </c>
      <c r="U52" s="64">
        <v>55</v>
      </c>
      <c r="V52" s="64">
        <v>55</v>
      </c>
      <c r="W52" s="64">
        <v>55</v>
      </c>
      <c r="X52" s="64">
        <v>55</v>
      </c>
      <c r="Y52" s="64">
        <v>55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538.4</v>
      </c>
      <c r="C54" s="60">
        <f t="shared" si="7"/>
        <v>538.4</v>
      </c>
      <c r="D54" s="60">
        <f t="shared" si="7"/>
        <v>538.4</v>
      </c>
      <c r="E54" s="60">
        <f t="shared" si="7"/>
        <v>538</v>
      </c>
      <c r="F54" s="60">
        <f t="shared" si="7"/>
        <v>538</v>
      </c>
      <c r="G54" s="60">
        <f t="shared" si="7"/>
        <v>538</v>
      </c>
      <c r="H54" s="60">
        <f t="shared" si="7"/>
        <v>538</v>
      </c>
      <c r="I54" s="60">
        <f t="shared" si="7"/>
        <v>538</v>
      </c>
      <c r="J54" s="60">
        <f t="shared" si="7"/>
        <v>538</v>
      </c>
      <c r="K54" s="60">
        <f t="shared" si="7"/>
        <v>538</v>
      </c>
      <c r="L54" s="60">
        <f t="shared" si="7"/>
        <v>538</v>
      </c>
      <c r="M54" s="60">
        <f t="shared" si="7"/>
        <v>538</v>
      </c>
      <c r="N54" s="60">
        <f t="shared" si="7"/>
        <v>538</v>
      </c>
      <c r="O54" s="60">
        <f t="shared" si="7"/>
        <v>538</v>
      </c>
      <c r="P54" s="60">
        <f t="shared" si="7"/>
        <v>538</v>
      </c>
      <c r="Q54" s="60">
        <f t="shared" si="7"/>
        <v>538</v>
      </c>
      <c r="R54" s="60">
        <f t="shared" ref="R54:Y54" si="8">SUM(R51:R53)</f>
        <v>477</v>
      </c>
      <c r="S54" s="60">
        <f t="shared" si="8"/>
        <v>477</v>
      </c>
      <c r="T54" s="60">
        <f t="shared" si="8"/>
        <v>497</v>
      </c>
      <c r="U54" s="60">
        <f t="shared" si="8"/>
        <v>497</v>
      </c>
      <c r="V54" s="60">
        <f t="shared" si="8"/>
        <v>497</v>
      </c>
      <c r="W54" s="60">
        <f t="shared" si="8"/>
        <v>497</v>
      </c>
      <c r="X54" s="60">
        <f t="shared" si="8"/>
        <v>497</v>
      </c>
      <c r="Y54" s="60">
        <f t="shared" si="8"/>
        <v>533</v>
      </c>
      <c r="Z54" s="60">
        <f t="shared" si="7"/>
        <v>538</v>
      </c>
      <c r="AA54" s="60">
        <f t="shared" si="7"/>
        <v>538</v>
      </c>
      <c r="AB54" s="60">
        <f>SUM(AB51:AB53)</f>
        <v>538</v>
      </c>
      <c r="AC54" s="60">
        <f t="shared" si="7"/>
        <v>538</v>
      </c>
      <c r="AD54" s="60">
        <f t="shared" si="7"/>
        <v>538</v>
      </c>
      <c r="AE54" s="60">
        <f t="shared" si="7"/>
        <v>538</v>
      </c>
      <c r="AF54" s="60">
        <f t="shared" si="7"/>
        <v>538</v>
      </c>
      <c r="AG54" s="61">
        <f t="shared" si="7"/>
        <v>538.1</v>
      </c>
      <c r="AH54" s="47">
        <f t="shared" si="2"/>
        <v>538.4</v>
      </c>
      <c r="AI54" s="48">
        <f t="shared" si="3"/>
        <v>477</v>
      </c>
      <c r="AK54" s="50"/>
    </row>
    <row r="55" spans="1:41" x14ac:dyDescent="0.25">
      <c r="A55" s="44" t="s">
        <v>63</v>
      </c>
      <c r="B55" s="45">
        <v>121.4</v>
      </c>
      <c r="C55" s="45">
        <v>121.4</v>
      </c>
      <c r="D55" s="45">
        <v>121.4</v>
      </c>
      <c r="E55" s="45">
        <v>0</v>
      </c>
      <c r="F55" s="45">
        <v>121.2</v>
      </c>
      <c r="G55" s="45">
        <v>121.4</v>
      </c>
      <c r="H55" s="45">
        <v>134.5</v>
      </c>
      <c r="I55" s="45">
        <v>131.4</v>
      </c>
      <c r="J55" s="45"/>
      <c r="K55" s="45"/>
      <c r="L55" s="45">
        <v>136.30000000000001</v>
      </c>
      <c r="M55" s="45">
        <v>134.69999999999999</v>
      </c>
      <c r="N55" s="45">
        <v>134.80000000000001</v>
      </c>
      <c r="O55" s="45">
        <v>134.9</v>
      </c>
      <c r="P55" s="45">
        <v>135.69999999999999</v>
      </c>
      <c r="Q55" s="45">
        <v>135.5</v>
      </c>
      <c r="R55" s="45">
        <v>136</v>
      </c>
      <c r="S55" s="45">
        <v>136</v>
      </c>
      <c r="T55" s="45">
        <v>135</v>
      </c>
      <c r="U55" s="45">
        <v>135</v>
      </c>
      <c r="V55" s="45">
        <v>135</v>
      </c>
      <c r="W55" s="45">
        <v>135</v>
      </c>
      <c r="X55" s="45">
        <v>135</v>
      </c>
      <c r="Y55" s="45">
        <v>135.4</v>
      </c>
      <c r="Z55" s="45">
        <v>135.4</v>
      </c>
      <c r="AA55" s="45">
        <v>136.69999999999999</v>
      </c>
      <c r="AB55" s="45">
        <v>135.69999999999999</v>
      </c>
      <c r="AC55" s="45">
        <v>135.69999999999999</v>
      </c>
      <c r="AD55" s="45">
        <v>136.4</v>
      </c>
      <c r="AE55" s="45">
        <v>136.4</v>
      </c>
      <c r="AF55" s="45">
        <v>120</v>
      </c>
      <c r="AG55" s="51">
        <v>144</v>
      </c>
      <c r="AH55" s="47">
        <f t="shared" si="2"/>
        <v>136.69999999999999</v>
      </c>
      <c r="AI55" s="48">
        <f t="shared" si="3"/>
        <v>0</v>
      </c>
      <c r="AK55" s="50"/>
    </row>
    <row r="56" spans="1:41" x14ac:dyDescent="0.25">
      <c r="A56" s="53" t="s">
        <v>64</v>
      </c>
      <c r="B56" s="45">
        <v>61.6</v>
      </c>
      <c r="C56" s="45">
        <v>61.6</v>
      </c>
      <c r="D56" s="45">
        <v>49</v>
      </c>
      <c r="E56" s="64">
        <v>0</v>
      </c>
      <c r="F56" s="64">
        <v>52.9</v>
      </c>
      <c r="G56" s="64">
        <v>62.3</v>
      </c>
      <c r="H56" s="64">
        <v>68.400000000000006</v>
      </c>
      <c r="I56" s="64">
        <v>62.2</v>
      </c>
      <c r="J56" s="64"/>
      <c r="K56" s="64"/>
      <c r="L56" s="64">
        <v>34.799999999999997</v>
      </c>
      <c r="M56" s="64">
        <v>70.099999999999994</v>
      </c>
      <c r="N56" s="64">
        <v>68.8</v>
      </c>
      <c r="O56" s="64">
        <v>59.5</v>
      </c>
      <c r="P56" s="64">
        <v>69.3</v>
      </c>
      <c r="Q56" s="64">
        <v>68.7</v>
      </c>
      <c r="R56" s="64">
        <v>69.900000000000006</v>
      </c>
      <c r="S56" s="64">
        <v>71</v>
      </c>
      <c r="T56" s="64">
        <v>66.7</v>
      </c>
      <c r="U56" s="64">
        <v>70.400000000000006</v>
      </c>
      <c r="V56" s="64">
        <v>60</v>
      </c>
      <c r="W56" s="64">
        <v>60</v>
      </c>
      <c r="X56" s="64">
        <v>60</v>
      </c>
      <c r="Y56" s="64">
        <v>60</v>
      </c>
      <c r="Z56" s="64">
        <v>70.7</v>
      </c>
      <c r="AA56" s="45">
        <v>71.099999999999994</v>
      </c>
      <c r="AB56" s="45">
        <v>59.7</v>
      </c>
      <c r="AC56" s="45">
        <v>59.7</v>
      </c>
      <c r="AD56" s="45">
        <v>71</v>
      </c>
      <c r="AE56" s="45">
        <v>71</v>
      </c>
      <c r="AF56" s="45">
        <v>50</v>
      </c>
      <c r="AG56" s="54">
        <v>70</v>
      </c>
      <c r="AH56" s="47">
        <f t="shared" si="2"/>
        <v>71.099999999999994</v>
      </c>
      <c r="AI56" s="48">
        <f t="shared" si="3"/>
        <v>0</v>
      </c>
      <c r="AK56" s="50"/>
    </row>
    <row r="57" spans="1:41" x14ac:dyDescent="0.25">
      <c r="A57" s="53" t="s">
        <v>65</v>
      </c>
      <c r="B57" s="45">
        <v>64.099999999999994</v>
      </c>
      <c r="C57" s="45">
        <v>64.099999999999994</v>
      </c>
      <c r="D57" s="45">
        <v>52.8</v>
      </c>
      <c r="E57" s="64">
        <v>22</v>
      </c>
      <c r="F57" s="64">
        <v>55.2</v>
      </c>
      <c r="G57" s="64">
        <v>60.9</v>
      </c>
      <c r="H57" s="64">
        <v>64</v>
      </c>
      <c r="I57" s="64">
        <v>64</v>
      </c>
      <c r="J57" s="64"/>
      <c r="K57" s="64"/>
      <c r="L57" s="64">
        <v>64.599999999999994</v>
      </c>
      <c r="M57" s="64">
        <v>64.099999999999994</v>
      </c>
      <c r="N57" s="64">
        <v>64.099999999999994</v>
      </c>
      <c r="O57" s="64">
        <v>64.099999999999994</v>
      </c>
      <c r="P57" s="64">
        <v>65.099999999999994</v>
      </c>
      <c r="Q57" s="64">
        <v>64.5</v>
      </c>
      <c r="R57" s="64">
        <v>64.400000000000006</v>
      </c>
      <c r="S57" s="64">
        <v>64.7</v>
      </c>
      <c r="T57" s="64">
        <v>64.5</v>
      </c>
      <c r="U57" s="64">
        <v>64.5</v>
      </c>
      <c r="V57" s="64">
        <v>55.1</v>
      </c>
      <c r="W57" s="64">
        <v>55.1</v>
      </c>
      <c r="X57" s="64">
        <v>55.1</v>
      </c>
      <c r="Y57" s="64">
        <v>52.2</v>
      </c>
      <c r="Z57" s="64">
        <v>64.400000000000006</v>
      </c>
      <c r="AA57" s="45">
        <v>64.400000000000006</v>
      </c>
      <c r="AB57" s="45">
        <v>65.3</v>
      </c>
      <c r="AC57" s="45">
        <v>65.3</v>
      </c>
      <c r="AD57" s="45">
        <v>64</v>
      </c>
      <c r="AE57" s="45">
        <v>64</v>
      </c>
      <c r="AF57" s="45">
        <v>53</v>
      </c>
      <c r="AG57" s="54">
        <v>69</v>
      </c>
      <c r="AH57" s="47">
        <f t="shared" si="2"/>
        <v>65.3</v>
      </c>
      <c r="AI57" s="48">
        <f t="shared" si="3"/>
        <v>22</v>
      </c>
      <c r="AK57" s="50"/>
    </row>
    <row r="58" spans="1:41" x14ac:dyDescent="0.25">
      <c r="A58" s="53" t="s">
        <v>66</v>
      </c>
      <c r="B58" s="45">
        <v>51.1</v>
      </c>
      <c r="C58" s="45">
        <v>51.1</v>
      </c>
      <c r="D58" s="45">
        <v>50.9</v>
      </c>
      <c r="E58" s="56">
        <v>0</v>
      </c>
      <c r="F58" s="56">
        <v>50.6</v>
      </c>
      <c r="G58" s="56">
        <v>60.9</v>
      </c>
      <c r="H58" s="56">
        <v>61.2</v>
      </c>
      <c r="I58" s="56">
        <v>55</v>
      </c>
      <c r="J58" s="56"/>
      <c r="K58" s="56"/>
      <c r="L58" s="56">
        <v>0</v>
      </c>
      <c r="M58" s="64">
        <v>48.1</v>
      </c>
      <c r="N58" s="64">
        <v>59.5</v>
      </c>
      <c r="O58" s="64">
        <v>59.5</v>
      </c>
      <c r="P58" s="64">
        <v>0</v>
      </c>
      <c r="Q58" s="64">
        <v>0</v>
      </c>
      <c r="R58" s="64">
        <v>0</v>
      </c>
      <c r="S58" s="64">
        <v>10.3</v>
      </c>
      <c r="T58" s="64">
        <v>57.4</v>
      </c>
      <c r="U58" s="64">
        <v>59.7</v>
      </c>
      <c r="V58" s="64">
        <v>51.6</v>
      </c>
      <c r="W58" s="64">
        <v>51.6</v>
      </c>
      <c r="X58" s="64">
        <v>51.6</v>
      </c>
      <c r="Y58" s="64">
        <v>51.4</v>
      </c>
      <c r="Z58" s="64">
        <v>61.4</v>
      </c>
      <c r="AA58" s="45">
        <v>61.4</v>
      </c>
      <c r="AB58" s="45">
        <v>60.9</v>
      </c>
      <c r="AC58" s="45">
        <v>60.9</v>
      </c>
      <c r="AD58" s="45">
        <v>60.9</v>
      </c>
      <c r="AE58" s="45">
        <v>60.9</v>
      </c>
      <c r="AF58" s="45">
        <v>43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45">
        <v>28</v>
      </c>
      <c r="C59" s="45">
        <v>28</v>
      </c>
      <c r="D59" s="45">
        <v>28</v>
      </c>
      <c r="E59" s="56">
        <v>28</v>
      </c>
      <c r="F59" s="56">
        <v>28</v>
      </c>
      <c r="G59" s="56">
        <v>28</v>
      </c>
      <c r="H59" s="56">
        <v>28</v>
      </c>
      <c r="I59" s="56">
        <v>28</v>
      </c>
      <c r="J59" s="56">
        <v>28</v>
      </c>
      <c r="K59" s="56">
        <v>28</v>
      </c>
      <c r="L59" s="56">
        <v>28</v>
      </c>
      <c r="M59" s="64">
        <v>28</v>
      </c>
      <c r="N59" s="64">
        <v>0</v>
      </c>
      <c r="O59" s="64">
        <v>0</v>
      </c>
      <c r="P59" s="64">
        <v>15</v>
      </c>
      <c r="Q59" s="64">
        <v>15</v>
      </c>
      <c r="R59" s="64">
        <v>15</v>
      </c>
      <c r="S59" s="64">
        <v>15</v>
      </c>
      <c r="T59" s="64">
        <v>28</v>
      </c>
      <c r="U59" s="64">
        <v>28</v>
      </c>
      <c r="V59" s="64">
        <v>28</v>
      </c>
      <c r="W59" s="64">
        <v>28</v>
      </c>
      <c r="X59" s="64">
        <v>28</v>
      </c>
      <c r="Y59" s="64">
        <v>28</v>
      </c>
      <c r="Z59" s="64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1.5</v>
      </c>
      <c r="N60" s="64">
        <v>4.9000000000000004</v>
      </c>
      <c r="O60" s="64">
        <v>4.9000000000000004</v>
      </c>
      <c r="P60" s="64">
        <v>4.0999999999999996</v>
      </c>
      <c r="Q60" s="64">
        <v>4.0999999999999996</v>
      </c>
      <c r="R60" s="64">
        <v>7.9</v>
      </c>
      <c r="S60" s="64">
        <v>7.9</v>
      </c>
      <c r="T60" s="64"/>
      <c r="U60" s="64"/>
      <c r="V60" s="64">
        <v>0.6</v>
      </c>
      <c r="W60" s="64">
        <v>0.6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7.9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0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10</v>
      </c>
      <c r="AG61" s="54">
        <v>24</v>
      </c>
      <c r="AH61" s="47">
        <f t="shared" si="2"/>
        <v>12</v>
      </c>
      <c r="AI61" s="48">
        <f t="shared" si="3"/>
        <v>0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0</v>
      </c>
      <c r="N62" s="64">
        <v>0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0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10.6</v>
      </c>
      <c r="C63" s="64">
        <v>10.6</v>
      </c>
      <c r="D63" s="64">
        <v>10.9</v>
      </c>
      <c r="E63" s="64">
        <v>0</v>
      </c>
      <c r="F63" s="64">
        <v>9.1999999999999993</v>
      </c>
      <c r="G63" s="64">
        <v>9.1999999999999993</v>
      </c>
      <c r="H63" s="64">
        <v>9.1999999999999993</v>
      </c>
      <c r="I63" s="64">
        <v>9.1999999999999993</v>
      </c>
      <c r="J63" s="64">
        <v>9.1999999999999993</v>
      </c>
      <c r="K63" s="64">
        <v>9.1999999999999993</v>
      </c>
      <c r="L63" s="64">
        <v>9.1999999999999993</v>
      </c>
      <c r="M63" s="64">
        <v>9.1999999999999993</v>
      </c>
      <c r="N63" s="64">
        <v>9.1999999999999993</v>
      </c>
      <c r="O63" s="64">
        <v>9.1999999999999993</v>
      </c>
      <c r="P63" s="64">
        <v>13</v>
      </c>
      <c r="Q63" s="64">
        <v>13</v>
      </c>
      <c r="R63" s="64">
        <v>13</v>
      </c>
      <c r="S63" s="64">
        <v>13</v>
      </c>
      <c r="T63" s="64">
        <v>13</v>
      </c>
      <c r="U63" s="64">
        <v>13</v>
      </c>
      <c r="V63" s="64">
        <v>10.7</v>
      </c>
      <c r="W63" s="64">
        <v>10.7</v>
      </c>
      <c r="X63" s="64">
        <v>10.7</v>
      </c>
      <c r="Y63" s="64">
        <v>9.9</v>
      </c>
      <c r="Z63" s="64">
        <v>9.9</v>
      </c>
      <c r="AA63" s="64">
        <v>8.8000000000000007</v>
      </c>
      <c r="AB63" s="64">
        <v>10.6</v>
      </c>
      <c r="AC63" s="64">
        <v>10.6</v>
      </c>
      <c r="AD63" s="64">
        <v>10.6</v>
      </c>
      <c r="AE63" s="64">
        <v>10.6</v>
      </c>
      <c r="AF63" s="64">
        <v>10.6</v>
      </c>
      <c r="AG63" s="54">
        <v>14.1</v>
      </c>
      <c r="AH63" s="47">
        <f t="shared" si="2"/>
        <v>13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13.7</v>
      </c>
      <c r="C64" s="64">
        <v>4.5999999999999996</v>
      </c>
      <c r="D64" s="64">
        <v>4.5999999999999996</v>
      </c>
      <c r="E64" s="64">
        <v>0</v>
      </c>
      <c r="F64" s="64">
        <v>10</v>
      </c>
      <c r="G64" s="64">
        <v>10</v>
      </c>
      <c r="H64" s="64">
        <v>10</v>
      </c>
      <c r="I64" s="64">
        <v>10</v>
      </c>
      <c r="J64" s="64">
        <v>10</v>
      </c>
      <c r="K64" s="64">
        <v>10</v>
      </c>
      <c r="L64" s="64">
        <v>10</v>
      </c>
      <c r="M64" s="64">
        <v>10</v>
      </c>
      <c r="N64" s="64">
        <v>10</v>
      </c>
      <c r="O64" s="64">
        <v>10</v>
      </c>
      <c r="P64" s="64">
        <v>10</v>
      </c>
      <c r="Q64" s="64">
        <v>10</v>
      </c>
      <c r="R64" s="64">
        <v>10</v>
      </c>
      <c r="S64" s="64">
        <v>10</v>
      </c>
      <c r="T64" s="64">
        <v>10</v>
      </c>
      <c r="U64" s="64">
        <v>10</v>
      </c>
      <c r="V64" s="64">
        <v>5.6</v>
      </c>
      <c r="W64" s="64">
        <v>5.6</v>
      </c>
      <c r="X64" s="64">
        <v>5.6</v>
      </c>
      <c r="Y64" s="64">
        <v>13.5</v>
      </c>
      <c r="Z64" s="64">
        <v>13.5</v>
      </c>
      <c r="AA64" s="64">
        <v>13.5</v>
      </c>
      <c r="AB64" s="64">
        <v>13.5</v>
      </c>
      <c r="AC64" s="64">
        <v>13.5</v>
      </c>
      <c r="AD64" s="64">
        <v>13.5</v>
      </c>
      <c r="AE64" s="64">
        <v>13.5</v>
      </c>
      <c r="AF64" s="64">
        <v>13.5</v>
      </c>
      <c r="AG64" s="54">
        <v>14</v>
      </c>
      <c r="AH64" s="47">
        <f t="shared" si="2"/>
        <v>13.7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381.24</v>
      </c>
      <c r="C68" s="60">
        <f t="shared" si="9"/>
        <v>372.14000000000004</v>
      </c>
      <c r="D68" s="60">
        <f t="shared" si="9"/>
        <v>348.34</v>
      </c>
      <c r="E68" s="60">
        <f t="shared" si="9"/>
        <v>68.740000000000009</v>
      </c>
      <c r="F68" s="60">
        <f t="shared" si="9"/>
        <v>357.84000000000003</v>
      </c>
      <c r="G68" s="60">
        <f t="shared" si="9"/>
        <v>383.44</v>
      </c>
      <c r="H68" s="60">
        <f t="shared" si="9"/>
        <v>406.03999999999996</v>
      </c>
      <c r="I68" s="60">
        <f t="shared" si="9"/>
        <v>390.54</v>
      </c>
      <c r="J68" s="60">
        <f t="shared" si="9"/>
        <v>77.940000000000012</v>
      </c>
      <c r="K68" s="60">
        <f t="shared" si="9"/>
        <v>77.940000000000012</v>
      </c>
      <c r="L68" s="60">
        <f t="shared" si="9"/>
        <v>313.64000000000004</v>
      </c>
      <c r="M68" s="60">
        <f t="shared" si="9"/>
        <v>396.44</v>
      </c>
      <c r="N68" s="60">
        <f t="shared" si="9"/>
        <v>382.04</v>
      </c>
      <c r="O68" s="60">
        <f t="shared" si="9"/>
        <v>372.84</v>
      </c>
      <c r="P68" s="60">
        <f t="shared" si="9"/>
        <v>342.94000000000005</v>
      </c>
      <c r="Q68" s="60">
        <f t="shared" si="9"/>
        <v>341.54</v>
      </c>
      <c r="R68" s="60">
        <f t="shared" si="9"/>
        <v>346.94</v>
      </c>
      <c r="S68" s="60">
        <f t="shared" ref="S68:AA68" si="10">SUM(S55:S67)</f>
        <v>358.64</v>
      </c>
      <c r="T68" s="60">
        <f t="shared" si="10"/>
        <v>405.34</v>
      </c>
      <c r="U68" s="60">
        <f t="shared" si="10"/>
        <v>411.34</v>
      </c>
      <c r="V68" s="60">
        <f t="shared" si="10"/>
        <v>377.34000000000003</v>
      </c>
      <c r="W68" s="60">
        <f t="shared" si="10"/>
        <v>377.34000000000003</v>
      </c>
      <c r="X68" s="60">
        <f t="shared" si="10"/>
        <v>376.74</v>
      </c>
      <c r="Y68" s="60">
        <f t="shared" si="10"/>
        <v>381.14</v>
      </c>
      <c r="Z68" s="60">
        <f t="shared" si="10"/>
        <v>414.03999999999996</v>
      </c>
      <c r="AA68" s="60">
        <f t="shared" si="10"/>
        <v>414.64</v>
      </c>
      <c r="AB68" s="60">
        <f t="shared" si="9"/>
        <v>404.44</v>
      </c>
      <c r="AC68" s="60">
        <f t="shared" si="9"/>
        <v>404.44</v>
      </c>
      <c r="AD68" s="60">
        <f t="shared" si="9"/>
        <v>415.14</v>
      </c>
      <c r="AE68" s="60">
        <f t="shared" si="9"/>
        <v>415.14</v>
      </c>
      <c r="AF68" s="60">
        <f t="shared" si="9"/>
        <v>346.84000000000003</v>
      </c>
      <c r="AG68" s="61">
        <f t="shared" si="9"/>
        <v>489.91</v>
      </c>
      <c r="AH68" s="47">
        <f t="shared" si="2"/>
        <v>415.14</v>
      </c>
      <c r="AI68" s="48">
        <f t="shared" si="3"/>
        <v>68.740000000000009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>
        <v>0</v>
      </c>
      <c r="M69" s="45"/>
      <c r="N69" s="45"/>
      <c r="O69" s="45"/>
      <c r="P69" s="45"/>
      <c r="Q69" s="45"/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64"/>
      <c r="F70" s="64"/>
      <c r="G70" s="64"/>
      <c r="H70" s="64"/>
      <c r="I70" s="64"/>
      <c r="J70" s="64"/>
      <c r="K70" s="64"/>
      <c r="L70" s="64">
        <v>0</v>
      </c>
      <c r="M70" s="64"/>
      <c r="N70" s="64"/>
      <c r="O70" s="64"/>
      <c r="P70" s="64"/>
      <c r="Q70" s="64"/>
      <c r="R70" s="64">
        <v>0</v>
      </c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66"/>
      <c r="F71" s="66"/>
      <c r="G71" s="66"/>
      <c r="H71" s="66"/>
      <c r="I71" s="66"/>
      <c r="J71" s="66"/>
      <c r="K71" s="66"/>
      <c r="L71" s="66">
        <v>0</v>
      </c>
      <c r="M71" s="66"/>
      <c r="N71" s="66"/>
      <c r="O71" s="66"/>
      <c r="P71" s="66"/>
      <c r="Q71" s="66"/>
      <c r="R71" s="66">
        <v>0</v>
      </c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0</v>
      </c>
      <c r="P72" s="60">
        <f t="shared" si="11"/>
        <v>0</v>
      </c>
      <c r="Q72" s="60">
        <f t="shared" si="11"/>
        <v>0</v>
      </c>
      <c r="R72" s="60">
        <f t="shared" si="11"/>
        <v>0</v>
      </c>
      <c r="S72" s="60">
        <f t="shared" ref="S72:AA72" si="12">S69+S70+S71</f>
        <v>0</v>
      </c>
      <c r="T72" s="60">
        <f t="shared" si="12"/>
        <v>0</v>
      </c>
      <c r="U72" s="60">
        <f t="shared" si="12"/>
        <v>0</v>
      </c>
      <c r="V72" s="60">
        <f t="shared" si="12"/>
        <v>0</v>
      </c>
      <c r="W72" s="60">
        <f t="shared" si="12"/>
        <v>0</v>
      </c>
      <c r="X72" s="60">
        <f t="shared" si="12"/>
        <v>0</v>
      </c>
      <c r="Y72" s="60">
        <f t="shared" si="12"/>
        <v>0</v>
      </c>
      <c r="Z72" s="60">
        <f t="shared" si="12"/>
        <v>0</v>
      </c>
      <c r="AA72" s="60">
        <f t="shared" si="12"/>
        <v>0</v>
      </c>
      <c r="AB72" s="60">
        <f t="shared" si="11"/>
        <v>0</v>
      </c>
      <c r="AC72" s="60">
        <f t="shared" si="11"/>
        <v>0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1.9</v>
      </c>
      <c r="C73" s="45">
        <v>4.7</v>
      </c>
      <c r="D73" s="45">
        <v>3.4</v>
      </c>
      <c r="E73" s="45">
        <v>-6.4</v>
      </c>
      <c r="F73" s="45">
        <v>-8.5</v>
      </c>
      <c r="G73" s="45">
        <v>-8.1</v>
      </c>
      <c r="H73" s="45">
        <v>-12.6</v>
      </c>
      <c r="I73" s="45">
        <v>-20</v>
      </c>
      <c r="J73" s="45"/>
      <c r="K73" s="45"/>
      <c r="L73" s="45">
        <v>19.2</v>
      </c>
      <c r="M73" s="45">
        <v>-62</v>
      </c>
      <c r="N73" s="45">
        <v>-32</v>
      </c>
      <c r="O73" s="45">
        <v>-36</v>
      </c>
      <c r="P73" s="45">
        <v>-38</v>
      </c>
      <c r="Q73" s="45">
        <v>-49.9</v>
      </c>
      <c r="R73" s="45">
        <v>-22.6</v>
      </c>
      <c r="S73" s="45"/>
      <c r="T73" s="45">
        <v>-14.5</v>
      </c>
      <c r="U73" s="45">
        <v>-24.7</v>
      </c>
      <c r="V73" s="45">
        <v>-31.78</v>
      </c>
      <c r="W73" s="45">
        <v>-31.78</v>
      </c>
      <c r="X73" s="45">
        <v>-31.78</v>
      </c>
      <c r="Y73" s="45">
        <v>-22.5</v>
      </c>
      <c r="Z73" s="45">
        <v>-7.9</v>
      </c>
      <c r="AA73" s="45">
        <v>16.399999999999999</v>
      </c>
      <c r="AB73" s="45">
        <v>22.6</v>
      </c>
      <c r="AC73" s="45">
        <v>12</v>
      </c>
      <c r="AD73" s="45">
        <v>-5</v>
      </c>
      <c r="AE73" s="45">
        <v>-10.5</v>
      </c>
      <c r="AF73" s="45">
        <v>-10.5</v>
      </c>
      <c r="AG73" s="51"/>
      <c r="AH73" s="47">
        <f t="shared" si="2"/>
        <v>22.6</v>
      </c>
      <c r="AI73" s="48">
        <f t="shared" si="3"/>
        <v>-62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>
        <v>0</v>
      </c>
      <c r="M74" s="64">
        <v>9</v>
      </c>
      <c r="N74" s="64">
        <v>5.7</v>
      </c>
      <c r="O74" s="64">
        <v>12.4</v>
      </c>
      <c r="P74" s="64">
        <v>12.4</v>
      </c>
      <c r="Q74" s="64">
        <v>19.3</v>
      </c>
      <c r="R74" s="64">
        <v>14.2</v>
      </c>
      <c r="S74" s="64">
        <v>14.2</v>
      </c>
      <c r="T74" s="64">
        <v>14.2</v>
      </c>
      <c r="U74" s="64">
        <v>14.2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19.3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-301.10000000000002</v>
      </c>
      <c r="C75" s="64">
        <v>-319.2</v>
      </c>
      <c r="D75" s="64">
        <v>-319.8</v>
      </c>
      <c r="E75" s="64">
        <v>-341</v>
      </c>
      <c r="F75" s="64">
        <v>-367.9</v>
      </c>
      <c r="G75" s="64">
        <v>-377</v>
      </c>
      <c r="H75" s="64">
        <v>-401</v>
      </c>
      <c r="I75" s="64">
        <v>-452</v>
      </c>
      <c r="J75" s="64"/>
      <c r="K75" s="64"/>
      <c r="L75" s="64">
        <v>-317</v>
      </c>
      <c r="M75" s="64">
        <v>-380</v>
      </c>
      <c r="N75" s="64">
        <v>-390</v>
      </c>
      <c r="O75" s="64">
        <v>-379.6</v>
      </c>
      <c r="P75" s="64">
        <v>-366.2</v>
      </c>
      <c r="Q75" s="64">
        <v>-381.3</v>
      </c>
      <c r="R75" s="64">
        <v>-335</v>
      </c>
      <c r="S75" s="64">
        <v>-331.9</v>
      </c>
      <c r="T75" s="64">
        <v>-316.60000000000002</v>
      </c>
      <c r="U75" s="64">
        <v>-358.2</v>
      </c>
      <c r="V75" s="64">
        <v>-387</v>
      </c>
      <c r="W75" s="64">
        <v>-387</v>
      </c>
      <c r="X75" s="64">
        <v>-387</v>
      </c>
      <c r="Y75" s="64">
        <v>-331.7</v>
      </c>
      <c r="Z75" s="64">
        <v>-320.89999999999998</v>
      </c>
      <c r="AA75" s="64">
        <v>-336.9</v>
      </c>
      <c r="AB75" s="64">
        <v>-318</v>
      </c>
      <c r="AC75" s="64">
        <v>-328</v>
      </c>
      <c r="AD75" s="64">
        <v>-331</v>
      </c>
      <c r="AE75" s="64">
        <v>-331</v>
      </c>
      <c r="AF75" s="64">
        <v>-275</v>
      </c>
      <c r="AG75" s="74"/>
      <c r="AH75" s="47">
        <f t="shared" si="2"/>
        <v>-275</v>
      </c>
      <c r="AI75" s="48">
        <f t="shared" si="3"/>
        <v>-452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>
        <v>0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>
        <v>5</v>
      </c>
      <c r="C78" s="45">
        <v>5</v>
      </c>
      <c r="D78" s="45">
        <v>5</v>
      </c>
      <c r="E78" s="45">
        <v>5</v>
      </c>
      <c r="F78" s="45">
        <v>5</v>
      </c>
      <c r="G78" s="45">
        <v>5</v>
      </c>
      <c r="H78" s="45">
        <v>5</v>
      </c>
      <c r="I78" s="45">
        <v>5</v>
      </c>
      <c r="J78" s="45">
        <v>5</v>
      </c>
      <c r="K78" s="45">
        <v>5</v>
      </c>
      <c r="L78" s="45">
        <v>5</v>
      </c>
      <c r="M78" s="45">
        <v>5</v>
      </c>
      <c r="N78" s="45">
        <v>5</v>
      </c>
      <c r="O78" s="45">
        <v>5</v>
      </c>
      <c r="P78" s="45">
        <v>5</v>
      </c>
      <c r="Q78" s="45">
        <v>5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13"/>
        <v>5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>
        <v>0</v>
      </c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>
        <v>0</v>
      </c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3"/>
        <v>0</v>
      </c>
      <c r="AI80" s="48">
        <f t="shared" si="14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>
        <v>0</v>
      </c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 t="shared" ref="B84:AF84" si="15">SUMIF(B73:B83,"&gt;0")</f>
        <v>6.9</v>
      </c>
      <c r="C84" s="60">
        <f t="shared" si="15"/>
        <v>9.6999999999999993</v>
      </c>
      <c r="D84" s="60">
        <f t="shared" si="15"/>
        <v>8.4</v>
      </c>
      <c r="E84" s="60">
        <f t="shared" si="15"/>
        <v>5</v>
      </c>
      <c r="F84" s="60">
        <f t="shared" si="15"/>
        <v>5</v>
      </c>
      <c r="G84" s="60">
        <f t="shared" si="15"/>
        <v>5</v>
      </c>
      <c r="H84" s="60">
        <f t="shared" si="15"/>
        <v>5</v>
      </c>
      <c r="I84" s="60">
        <f t="shared" si="15"/>
        <v>5</v>
      </c>
      <c r="J84" s="60">
        <f t="shared" si="15"/>
        <v>5</v>
      </c>
      <c r="K84" s="60">
        <f t="shared" si="15"/>
        <v>5</v>
      </c>
      <c r="L84" s="60">
        <f t="shared" si="15"/>
        <v>24.2</v>
      </c>
      <c r="M84" s="60">
        <f t="shared" si="15"/>
        <v>14</v>
      </c>
      <c r="N84" s="60">
        <f t="shared" si="15"/>
        <v>10.7</v>
      </c>
      <c r="O84" s="60">
        <f t="shared" si="15"/>
        <v>17.399999999999999</v>
      </c>
      <c r="P84" s="60">
        <f t="shared" si="15"/>
        <v>17.399999999999999</v>
      </c>
      <c r="Q84" s="60">
        <f t="shared" si="15"/>
        <v>24.3</v>
      </c>
      <c r="R84" s="60">
        <f t="shared" si="15"/>
        <v>14.2</v>
      </c>
      <c r="S84" s="60">
        <f t="shared" ref="S84:Z84" si="16">SUMIF(S73:S83,"&gt;0")</f>
        <v>14.2</v>
      </c>
      <c r="T84" s="60">
        <f t="shared" si="16"/>
        <v>14.2</v>
      </c>
      <c r="U84" s="60">
        <f t="shared" si="16"/>
        <v>14.2</v>
      </c>
      <c r="V84" s="60">
        <f t="shared" si="16"/>
        <v>0</v>
      </c>
      <c r="W84" s="60">
        <f t="shared" si="16"/>
        <v>0</v>
      </c>
      <c r="X84" s="60">
        <f t="shared" si="16"/>
        <v>0</v>
      </c>
      <c r="Y84" s="60">
        <f t="shared" si="16"/>
        <v>0</v>
      </c>
      <c r="Z84" s="60">
        <f t="shared" si="16"/>
        <v>0</v>
      </c>
      <c r="AA84" s="60">
        <v>0</v>
      </c>
      <c r="AB84" s="60">
        <f t="shared" si="15"/>
        <v>22.6</v>
      </c>
      <c r="AC84" s="60">
        <f t="shared" si="15"/>
        <v>12</v>
      </c>
      <c r="AD84" s="60">
        <f t="shared" si="15"/>
        <v>0</v>
      </c>
      <c r="AE84" s="60">
        <f t="shared" si="15"/>
        <v>0</v>
      </c>
      <c r="AF84" s="60">
        <f t="shared" si="15"/>
        <v>0</v>
      </c>
      <c r="AG84" s="87">
        <f>SUM(AG73:AG83)</f>
        <v>0</v>
      </c>
      <c r="AH84" s="47">
        <f t="shared" si="13"/>
        <v>24.3</v>
      </c>
      <c r="AI84" s="48">
        <f t="shared" si="14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1984.74</v>
      </c>
      <c r="C89" s="94">
        <f t="shared" si="17"/>
        <v>1975.6400000000003</v>
      </c>
      <c r="D89" s="94">
        <f t="shared" si="17"/>
        <v>1950.5400000000002</v>
      </c>
      <c r="E89" s="94">
        <f t="shared" si="17"/>
        <v>1312.54</v>
      </c>
      <c r="F89" s="94">
        <f t="shared" si="17"/>
        <v>1893.1800000000003</v>
      </c>
      <c r="G89" s="94">
        <f t="shared" si="17"/>
        <v>1938.08</v>
      </c>
      <c r="H89" s="94">
        <f t="shared" si="17"/>
        <v>1974.12</v>
      </c>
      <c r="I89" s="94">
        <f t="shared" si="17"/>
        <v>2000.78</v>
      </c>
      <c r="J89" s="94">
        <f t="shared" si="17"/>
        <v>1020.94</v>
      </c>
      <c r="K89" s="94">
        <f t="shared" si="17"/>
        <v>620.94000000000005</v>
      </c>
      <c r="L89" s="94">
        <f t="shared" si="17"/>
        <v>1943.0800000000002</v>
      </c>
      <c r="M89" s="94">
        <f t="shared" si="17"/>
        <v>1977.6399999999999</v>
      </c>
      <c r="N89" s="94">
        <f t="shared" si="17"/>
        <v>1940.04</v>
      </c>
      <c r="O89" s="94">
        <f t="shared" si="17"/>
        <v>1995.14</v>
      </c>
      <c r="P89" s="94">
        <f t="shared" si="17"/>
        <v>1993.94</v>
      </c>
      <c r="Q89" s="94">
        <f t="shared" si="17"/>
        <v>1950.4399999999998</v>
      </c>
      <c r="R89" s="94">
        <f t="shared" si="17"/>
        <v>1887.14</v>
      </c>
      <c r="S89" s="94">
        <f t="shared" ref="S89:AA89" si="18">S50+S54+S72+S68+S84+S88</f>
        <v>1898.84</v>
      </c>
      <c r="T89" s="94">
        <f t="shared" si="18"/>
        <v>1923.94</v>
      </c>
      <c r="U89" s="94">
        <f t="shared" si="18"/>
        <v>1929.94</v>
      </c>
      <c r="V89" s="94">
        <f t="shared" si="18"/>
        <v>1884.7400000000002</v>
      </c>
      <c r="W89" s="94">
        <f t="shared" si="18"/>
        <v>1884.7400000000002</v>
      </c>
      <c r="X89" s="94">
        <f t="shared" si="18"/>
        <v>1884.14</v>
      </c>
      <c r="Y89" s="94">
        <f t="shared" si="18"/>
        <v>1926.54</v>
      </c>
      <c r="Z89" s="94">
        <f t="shared" si="18"/>
        <v>1980.94</v>
      </c>
      <c r="AA89" s="94">
        <f t="shared" si="18"/>
        <v>1988.94</v>
      </c>
      <c r="AB89" s="94">
        <f t="shared" si="17"/>
        <v>2026.34</v>
      </c>
      <c r="AC89" s="94">
        <f t="shared" si="17"/>
        <v>2015.74</v>
      </c>
      <c r="AD89" s="94">
        <f t="shared" si="17"/>
        <v>2014.44</v>
      </c>
      <c r="AE89" s="94">
        <f t="shared" si="17"/>
        <v>2004.1399999999999</v>
      </c>
      <c r="AF89" s="94">
        <f t="shared" si="17"/>
        <v>1892.3400000000001</v>
      </c>
      <c r="AG89" s="61">
        <f t="shared" si="17"/>
        <v>2111.5500000000002</v>
      </c>
      <c r="AH89" s="47">
        <f t="shared" si="13"/>
        <v>2026.34</v>
      </c>
      <c r="AI89" s="48">
        <f t="shared" si="14"/>
        <v>620.94000000000005</v>
      </c>
    </row>
    <row r="90" spans="1:40" ht="15.75" thickBot="1" x14ac:dyDescent="0.3">
      <c r="A90" s="95" t="s">
        <v>101</v>
      </c>
      <c r="B90" s="96"/>
      <c r="C90" s="96"/>
      <c r="D90" s="96"/>
      <c r="E90" s="96">
        <v>600</v>
      </c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600</v>
      </c>
      <c r="AI90" s="48">
        <f t="shared" si="14"/>
        <v>600</v>
      </c>
    </row>
    <row r="91" spans="1:40" ht="15.75" thickBot="1" x14ac:dyDescent="0.3">
      <c r="A91" s="73" t="s">
        <v>102</v>
      </c>
      <c r="B91" s="94">
        <f t="shared" ref="B91:AF91" si="19">B89+B90</f>
        <v>1984.74</v>
      </c>
      <c r="C91" s="94">
        <f t="shared" si="19"/>
        <v>1975.6400000000003</v>
      </c>
      <c r="D91" s="94">
        <f t="shared" si="19"/>
        <v>1950.5400000000002</v>
      </c>
      <c r="E91" s="94">
        <f t="shared" si="19"/>
        <v>1912.54</v>
      </c>
      <c r="F91" s="94">
        <f t="shared" si="19"/>
        <v>1893.1800000000003</v>
      </c>
      <c r="G91" s="94">
        <f t="shared" si="19"/>
        <v>1938.08</v>
      </c>
      <c r="H91" s="94">
        <f t="shared" si="19"/>
        <v>1974.12</v>
      </c>
      <c r="I91" s="94">
        <f t="shared" si="19"/>
        <v>2000.78</v>
      </c>
      <c r="J91" s="94">
        <f t="shared" si="19"/>
        <v>1020.94</v>
      </c>
      <c r="K91" s="94">
        <f t="shared" si="19"/>
        <v>620.94000000000005</v>
      </c>
      <c r="L91" s="94">
        <f t="shared" si="19"/>
        <v>1943.0800000000002</v>
      </c>
      <c r="M91" s="94">
        <f t="shared" si="19"/>
        <v>1977.6399999999999</v>
      </c>
      <c r="N91" s="94">
        <f t="shared" si="19"/>
        <v>1940.04</v>
      </c>
      <c r="O91" s="94">
        <f t="shared" si="19"/>
        <v>1995.14</v>
      </c>
      <c r="P91" s="94">
        <f t="shared" si="19"/>
        <v>1993.94</v>
      </c>
      <c r="Q91" s="94">
        <f t="shared" si="19"/>
        <v>1950.4399999999998</v>
      </c>
      <c r="R91" s="94">
        <f t="shared" si="19"/>
        <v>1887.14</v>
      </c>
      <c r="S91" s="94">
        <f t="shared" ref="S91:AA91" si="20">S89+S90</f>
        <v>1898.84</v>
      </c>
      <c r="T91" s="94">
        <f t="shared" si="20"/>
        <v>1923.94</v>
      </c>
      <c r="U91" s="94">
        <f t="shared" si="20"/>
        <v>1929.94</v>
      </c>
      <c r="V91" s="94">
        <f t="shared" si="20"/>
        <v>1884.7400000000002</v>
      </c>
      <c r="W91" s="94">
        <f t="shared" si="20"/>
        <v>1884.7400000000002</v>
      </c>
      <c r="X91" s="94">
        <f t="shared" si="20"/>
        <v>1884.14</v>
      </c>
      <c r="Y91" s="94">
        <f t="shared" si="20"/>
        <v>1926.54</v>
      </c>
      <c r="Z91" s="94">
        <f t="shared" si="20"/>
        <v>1980.94</v>
      </c>
      <c r="AA91" s="94">
        <f t="shared" si="20"/>
        <v>1988.94</v>
      </c>
      <c r="AB91" s="94">
        <f t="shared" si="19"/>
        <v>2026.34</v>
      </c>
      <c r="AC91" s="94">
        <f t="shared" si="19"/>
        <v>2015.74</v>
      </c>
      <c r="AD91" s="94">
        <f t="shared" si="19"/>
        <v>2014.44</v>
      </c>
      <c r="AE91" s="94">
        <f t="shared" si="19"/>
        <v>2004.1399999999999</v>
      </c>
      <c r="AF91" s="94">
        <f t="shared" si="19"/>
        <v>1892.3400000000001</v>
      </c>
      <c r="AG91" s="87">
        <f>AG88+AG84+AG72+AG68+AG50+AG90</f>
        <v>1573.45</v>
      </c>
      <c r="AH91" s="47">
        <f t="shared" si="13"/>
        <v>2026.34</v>
      </c>
      <c r="AI91" s="48">
        <f t="shared" si="14"/>
        <v>620.94000000000005</v>
      </c>
    </row>
    <row r="92" spans="1:40" ht="15.75" thickBot="1" x14ac:dyDescent="0.3">
      <c r="A92" s="73" t="s">
        <v>103</v>
      </c>
      <c r="B92" s="94">
        <f t="shared" ref="B92:AF92" si="21">B91-B99</f>
        <v>1984.74</v>
      </c>
      <c r="C92" s="94">
        <f t="shared" si="21"/>
        <v>1975.6400000000003</v>
      </c>
      <c r="D92" s="94">
        <f t="shared" si="21"/>
        <v>1950.5400000000002</v>
      </c>
      <c r="E92" s="94">
        <f t="shared" si="21"/>
        <v>1912.54</v>
      </c>
      <c r="F92" s="94">
        <f t="shared" si="21"/>
        <v>1893.1800000000003</v>
      </c>
      <c r="G92" s="94">
        <f t="shared" si="21"/>
        <v>1938.08</v>
      </c>
      <c r="H92" s="94">
        <f t="shared" si="21"/>
        <v>1974.12</v>
      </c>
      <c r="I92" s="94">
        <f t="shared" si="21"/>
        <v>2000.78</v>
      </c>
      <c r="J92" s="94">
        <f t="shared" si="21"/>
        <v>1020.94</v>
      </c>
      <c r="K92" s="94">
        <f t="shared" si="21"/>
        <v>620.94000000000005</v>
      </c>
      <c r="L92" s="94">
        <f t="shared" si="21"/>
        <v>1943.0800000000002</v>
      </c>
      <c r="M92" s="94">
        <f t="shared" si="21"/>
        <v>1977.6399999999999</v>
      </c>
      <c r="N92" s="94">
        <f t="shared" si="21"/>
        <v>1940.04</v>
      </c>
      <c r="O92" s="94">
        <f t="shared" si="21"/>
        <v>1995.14</v>
      </c>
      <c r="P92" s="94">
        <f t="shared" si="21"/>
        <v>1993.94</v>
      </c>
      <c r="Q92" s="94">
        <f t="shared" si="21"/>
        <v>1950.4399999999998</v>
      </c>
      <c r="R92" s="94">
        <f t="shared" si="21"/>
        <v>1887.14</v>
      </c>
      <c r="S92" s="94">
        <f t="shared" ref="S92:AA92" si="22">S91-S99</f>
        <v>1898.84</v>
      </c>
      <c r="T92" s="94">
        <f t="shared" si="22"/>
        <v>1923.94</v>
      </c>
      <c r="U92" s="94">
        <f t="shared" si="22"/>
        <v>1929.94</v>
      </c>
      <c r="V92" s="94">
        <f t="shared" si="22"/>
        <v>1884.7400000000002</v>
      </c>
      <c r="W92" s="94">
        <f t="shared" si="22"/>
        <v>1884.7400000000002</v>
      </c>
      <c r="X92" s="94">
        <f t="shared" si="22"/>
        <v>1884.14</v>
      </c>
      <c r="Y92" s="94">
        <f t="shared" si="22"/>
        <v>1926.54</v>
      </c>
      <c r="Z92" s="94">
        <f t="shared" si="22"/>
        <v>1980.94</v>
      </c>
      <c r="AA92" s="94">
        <f t="shared" si="22"/>
        <v>1988.94</v>
      </c>
      <c r="AB92" s="94">
        <f t="shared" si="21"/>
        <v>2026.34</v>
      </c>
      <c r="AC92" s="94">
        <f t="shared" si="21"/>
        <v>2015.74</v>
      </c>
      <c r="AD92" s="94">
        <f t="shared" si="21"/>
        <v>2014.44</v>
      </c>
      <c r="AE92" s="94">
        <f t="shared" si="21"/>
        <v>2004.1399999999999</v>
      </c>
      <c r="AF92" s="94">
        <f t="shared" si="21"/>
        <v>1892.3400000000001</v>
      </c>
      <c r="AG92" s="87"/>
      <c r="AH92" s="47">
        <f t="shared" si="13"/>
        <v>2026.34</v>
      </c>
      <c r="AI92" s="48">
        <f t="shared" si="14"/>
        <v>620.94000000000005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>
        <v>0</v>
      </c>
      <c r="AB99" s="60"/>
      <c r="AC99" s="60"/>
      <c r="AD99" s="60"/>
      <c r="AE99" s="60"/>
      <c r="AF99" s="60"/>
      <c r="AG99" s="87"/>
      <c r="AH99" s="47">
        <f t="shared" si="13"/>
        <v>0</v>
      </c>
      <c r="AI99" s="48">
        <f t="shared" si="14"/>
        <v>0</v>
      </c>
      <c r="AK99" s="50"/>
    </row>
    <row r="100" spans="1:37" ht="15.75" thickBot="1" x14ac:dyDescent="0.3">
      <c r="A100" s="73" t="s">
        <v>108</v>
      </c>
      <c r="B100" s="60">
        <f t="shared" ref="B100:AF100" si="23">B84-B99</f>
        <v>6.9</v>
      </c>
      <c r="C100" s="60">
        <f t="shared" si="23"/>
        <v>9.6999999999999993</v>
      </c>
      <c r="D100" s="60">
        <f t="shared" si="23"/>
        <v>8.4</v>
      </c>
      <c r="E100" s="60">
        <f t="shared" si="23"/>
        <v>5</v>
      </c>
      <c r="F100" s="60">
        <f t="shared" si="23"/>
        <v>5</v>
      </c>
      <c r="G100" s="60">
        <f t="shared" si="23"/>
        <v>5</v>
      </c>
      <c r="H100" s="60">
        <f t="shared" si="23"/>
        <v>5</v>
      </c>
      <c r="I100" s="60">
        <f t="shared" si="23"/>
        <v>5</v>
      </c>
      <c r="J100" s="60">
        <f t="shared" si="23"/>
        <v>5</v>
      </c>
      <c r="K100" s="60">
        <f t="shared" si="23"/>
        <v>5</v>
      </c>
      <c r="L100" s="60">
        <f t="shared" si="23"/>
        <v>24.2</v>
      </c>
      <c r="M100" s="60">
        <f t="shared" si="23"/>
        <v>14</v>
      </c>
      <c r="N100" s="60">
        <f t="shared" si="23"/>
        <v>10.7</v>
      </c>
      <c r="O100" s="60">
        <f t="shared" si="23"/>
        <v>17.399999999999999</v>
      </c>
      <c r="P100" s="60">
        <f t="shared" si="23"/>
        <v>17.399999999999999</v>
      </c>
      <c r="Q100" s="60">
        <f t="shared" si="23"/>
        <v>24.3</v>
      </c>
      <c r="R100" s="60">
        <f t="shared" si="23"/>
        <v>14.2</v>
      </c>
      <c r="S100" s="60">
        <f t="shared" ref="S100:AB100" si="24">S84-S99</f>
        <v>14.2</v>
      </c>
      <c r="T100" s="60">
        <f t="shared" si="24"/>
        <v>14.2</v>
      </c>
      <c r="U100" s="60">
        <f t="shared" si="24"/>
        <v>14.2</v>
      </c>
      <c r="V100" s="60">
        <f t="shared" si="24"/>
        <v>0</v>
      </c>
      <c r="W100" s="60">
        <f t="shared" si="24"/>
        <v>0</v>
      </c>
      <c r="X100" s="60">
        <f t="shared" si="24"/>
        <v>0</v>
      </c>
      <c r="Y100" s="60">
        <f t="shared" si="24"/>
        <v>0</v>
      </c>
      <c r="Z100" s="60">
        <f t="shared" si="24"/>
        <v>0</v>
      </c>
      <c r="AA100" s="60">
        <f t="shared" si="24"/>
        <v>0</v>
      </c>
      <c r="AB100" s="60">
        <f t="shared" si="24"/>
        <v>22.6</v>
      </c>
      <c r="AC100" s="60">
        <f t="shared" si="23"/>
        <v>12</v>
      </c>
      <c r="AD100" s="60">
        <f t="shared" si="23"/>
        <v>0</v>
      </c>
      <c r="AE100" s="60">
        <f t="shared" si="23"/>
        <v>0</v>
      </c>
      <c r="AF100" s="60">
        <f t="shared" si="23"/>
        <v>0</v>
      </c>
      <c r="AG100" s="87"/>
      <c r="AH100" s="47">
        <f t="shared" si="13"/>
        <v>24.3</v>
      </c>
      <c r="AI100" s="48">
        <f t="shared" si="14"/>
        <v>0</v>
      </c>
    </row>
    <row r="101" spans="1:37" x14ac:dyDescent="0.25">
      <c r="A101" s="99" t="s">
        <v>109</v>
      </c>
      <c r="B101" s="100">
        <v>49.981000000000002</v>
      </c>
      <c r="C101" s="100">
        <v>49.965000000000003</v>
      </c>
      <c r="D101" s="100">
        <v>50.005000000000003</v>
      </c>
      <c r="E101" s="100">
        <v>50.021000000000001</v>
      </c>
      <c r="F101" s="100">
        <v>49.997999999999998</v>
      </c>
      <c r="G101" s="100">
        <v>49.951000000000001</v>
      </c>
      <c r="H101" s="100">
        <v>49.996000000000002</v>
      </c>
      <c r="I101" s="100">
        <v>49.939</v>
      </c>
      <c r="J101" s="100"/>
      <c r="K101" s="100"/>
      <c r="L101" s="100">
        <v>50.024000000000001</v>
      </c>
      <c r="M101" s="100">
        <v>49.963999999999999</v>
      </c>
      <c r="N101" s="100">
        <v>50.084000000000003</v>
      </c>
      <c r="O101" s="100">
        <v>50</v>
      </c>
      <c r="P101" s="100">
        <v>50.04</v>
      </c>
      <c r="Q101" s="100">
        <v>49.984999999999999</v>
      </c>
      <c r="R101" s="100">
        <v>50.06</v>
      </c>
      <c r="S101" s="100">
        <v>49.99</v>
      </c>
      <c r="T101" s="100">
        <v>49.99</v>
      </c>
      <c r="U101" s="100">
        <v>49.89</v>
      </c>
      <c r="V101" s="100">
        <v>49.99</v>
      </c>
      <c r="W101" s="100">
        <v>49.99</v>
      </c>
      <c r="X101" s="100">
        <v>49.99</v>
      </c>
      <c r="Y101" s="100">
        <v>50.05</v>
      </c>
      <c r="Z101" s="100">
        <v>49.89</v>
      </c>
      <c r="AA101" s="100">
        <v>49.65</v>
      </c>
      <c r="AB101" s="100">
        <v>50.06</v>
      </c>
      <c r="AC101" s="100">
        <v>49.948999999999998</v>
      </c>
      <c r="AD101" s="100">
        <v>49.752000000000002</v>
      </c>
      <c r="AE101" s="100">
        <v>49.948</v>
      </c>
      <c r="AF101" s="100">
        <v>49.932000000000002</v>
      </c>
      <c r="AG101" s="101"/>
      <c r="AH101" s="47">
        <f t="shared" si="13"/>
        <v>50.084000000000003</v>
      </c>
      <c r="AI101" s="48">
        <f t="shared" si="14"/>
        <v>49.65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130.4</v>
      </c>
      <c r="C103" s="64">
        <v>131.30000000000001</v>
      </c>
      <c r="D103" s="64">
        <v>130.69999999999999</v>
      </c>
      <c r="E103" s="64">
        <v>130</v>
      </c>
      <c r="F103" s="64">
        <v>130.9</v>
      </c>
      <c r="G103" s="64">
        <v>130.9</v>
      </c>
      <c r="H103" s="64">
        <v>128.69999999999999</v>
      </c>
      <c r="I103" s="64">
        <v>128</v>
      </c>
      <c r="J103" s="64"/>
      <c r="K103" s="64"/>
      <c r="L103" s="64">
        <v>120.8</v>
      </c>
      <c r="M103" s="64">
        <v>124.8</v>
      </c>
      <c r="N103" s="64">
        <v>126.8</v>
      </c>
      <c r="O103" s="64">
        <v>127.2</v>
      </c>
      <c r="P103" s="64">
        <v>124.2</v>
      </c>
      <c r="Q103" s="64">
        <v>127.6</v>
      </c>
      <c r="R103" s="64">
        <v>125.5</v>
      </c>
      <c r="S103" s="64">
        <v>126.1</v>
      </c>
      <c r="T103" s="64">
        <v>126.6</v>
      </c>
      <c r="U103" s="64">
        <v>127.7</v>
      </c>
      <c r="V103" s="64">
        <v>129.6</v>
      </c>
      <c r="W103" s="64">
        <v>129.6</v>
      </c>
      <c r="X103" s="64">
        <v>129.6</v>
      </c>
      <c r="Y103" s="64">
        <v>129.19999999999999</v>
      </c>
      <c r="Z103" s="64">
        <v>128</v>
      </c>
      <c r="AA103" s="64">
        <v>128.6</v>
      </c>
      <c r="AB103" s="64">
        <v>129.69999999999999</v>
      </c>
      <c r="AC103" s="64">
        <v>130</v>
      </c>
      <c r="AD103" s="64">
        <v>130.6</v>
      </c>
      <c r="AE103" s="64">
        <v>130.80000000000001</v>
      </c>
      <c r="AF103" s="64">
        <v>130.6</v>
      </c>
      <c r="AG103" s="103"/>
      <c r="AH103" s="47">
        <f t="shared" si="13"/>
        <v>131.30000000000001</v>
      </c>
      <c r="AI103" s="48">
        <f t="shared" si="14"/>
        <v>120.8</v>
      </c>
    </row>
    <row r="104" spans="1:37" x14ac:dyDescent="0.25">
      <c r="A104" s="102" t="s">
        <v>112</v>
      </c>
      <c r="B104" s="64">
        <v>128</v>
      </c>
      <c r="C104" s="64">
        <v>126.9</v>
      </c>
      <c r="D104" s="64">
        <v>128.69999999999999</v>
      </c>
      <c r="E104" s="64">
        <v>130.69999999999999</v>
      </c>
      <c r="F104" s="64">
        <v>129</v>
      </c>
      <c r="G104" s="64">
        <v>129</v>
      </c>
      <c r="H104" s="64">
        <v>131</v>
      </c>
      <c r="I104" s="64">
        <v>131</v>
      </c>
      <c r="J104" s="64"/>
      <c r="K104" s="64"/>
      <c r="L104" s="64">
        <v>125.4</v>
      </c>
      <c r="M104" s="64">
        <v>129.4</v>
      </c>
      <c r="N104" s="64">
        <v>130.4</v>
      </c>
      <c r="O104" s="64">
        <v>129.5</v>
      </c>
      <c r="P104" s="64">
        <v>129.30000000000001</v>
      </c>
      <c r="Q104" s="64">
        <v>130.1</v>
      </c>
      <c r="R104" s="64">
        <v>131.5</v>
      </c>
      <c r="S104" s="64">
        <v>129.80000000000001</v>
      </c>
      <c r="T104" s="64">
        <v>129.6</v>
      </c>
      <c r="U104" s="64">
        <v>129.19999999999999</v>
      </c>
      <c r="V104" s="64">
        <v>130.1</v>
      </c>
      <c r="W104" s="64">
        <v>130.1</v>
      </c>
      <c r="X104" s="64">
        <v>130.1</v>
      </c>
      <c r="Y104" s="64">
        <v>129.9</v>
      </c>
      <c r="Z104" s="64">
        <v>126.7</v>
      </c>
      <c r="AA104" s="64">
        <v>126.8</v>
      </c>
      <c r="AB104" s="64">
        <v>127.6</v>
      </c>
      <c r="AC104" s="64">
        <v>126.9</v>
      </c>
      <c r="AD104" s="64">
        <v>128</v>
      </c>
      <c r="AE104" s="64">
        <v>127.2</v>
      </c>
      <c r="AF104" s="64">
        <v>128.30000000000001</v>
      </c>
      <c r="AG104" s="103"/>
      <c r="AH104" s="47">
        <f t="shared" si="13"/>
        <v>131.5</v>
      </c>
      <c r="AI104" s="48">
        <f t="shared" si="14"/>
        <v>125.4</v>
      </c>
    </row>
    <row r="105" spans="1:37" x14ac:dyDescent="0.25">
      <c r="A105" s="104" t="s">
        <v>113</v>
      </c>
      <c r="B105" s="64">
        <v>131.1</v>
      </c>
      <c r="C105" s="64">
        <v>129.9</v>
      </c>
      <c r="D105" s="64">
        <v>131.6</v>
      </c>
      <c r="E105" s="64">
        <v>131.69999999999999</v>
      </c>
      <c r="F105" s="64">
        <v>130.74</v>
      </c>
      <c r="G105" s="64">
        <v>130.74</v>
      </c>
      <c r="H105" s="64">
        <v>132.4</v>
      </c>
      <c r="I105" s="64">
        <v>132</v>
      </c>
      <c r="J105" s="64"/>
      <c r="K105" s="64"/>
      <c r="L105" s="64">
        <v>126.8</v>
      </c>
      <c r="M105" s="64">
        <v>128.80000000000001</v>
      </c>
      <c r="N105" s="64">
        <v>130.30000000000001</v>
      </c>
      <c r="O105" s="64">
        <v>131.5</v>
      </c>
      <c r="P105" s="64">
        <v>131</v>
      </c>
      <c r="Q105" s="64">
        <v>131.69999999999999</v>
      </c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103"/>
      <c r="AH105" s="47">
        <f t="shared" si="13"/>
        <v>132.4</v>
      </c>
      <c r="AI105" s="48">
        <f t="shared" si="14"/>
        <v>126.8</v>
      </c>
    </row>
    <row r="106" spans="1:37" x14ac:dyDescent="0.25">
      <c r="A106" s="104" t="s">
        <v>114</v>
      </c>
      <c r="B106" s="105">
        <v>130.19999999999999</v>
      </c>
      <c r="C106" s="105">
        <v>131.9</v>
      </c>
      <c r="D106" s="105">
        <v>131.80000000000001</v>
      </c>
      <c r="E106" s="105">
        <v>134.6</v>
      </c>
      <c r="F106" s="105">
        <v>133.5</v>
      </c>
      <c r="G106" s="105">
        <v>133.5</v>
      </c>
      <c r="H106" s="105">
        <v>131.30000000000001</v>
      </c>
      <c r="I106" s="105">
        <v>129.80000000000001</v>
      </c>
      <c r="J106" s="105"/>
      <c r="K106" s="105"/>
      <c r="L106" s="105">
        <v>136</v>
      </c>
      <c r="M106" s="105">
        <v>132.4</v>
      </c>
      <c r="N106" s="105">
        <v>131.4</v>
      </c>
      <c r="O106" s="105">
        <v>133.9</v>
      </c>
      <c r="P106" s="105">
        <v>132</v>
      </c>
      <c r="Q106" s="105">
        <v>135</v>
      </c>
      <c r="R106" s="105">
        <v>129</v>
      </c>
      <c r="S106" s="105">
        <v>129.4</v>
      </c>
      <c r="T106" s="105">
        <v>130</v>
      </c>
      <c r="U106" s="105">
        <v>130.9</v>
      </c>
      <c r="V106" s="105">
        <v>134.69999999999999</v>
      </c>
      <c r="W106" s="105">
        <v>134.69999999999999</v>
      </c>
      <c r="X106" s="105">
        <v>134.69999999999999</v>
      </c>
      <c r="Y106" s="105">
        <v>133.5</v>
      </c>
      <c r="Z106" s="105">
        <v>133.9</v>
      </c>
      <c r="AA106" s="105">
        <v>133.1</v>
      </c>
      <c r="AB106" s="105">
        <v>134</v>
      </c>
      <c r="AC106" s="105">
        <v>133.1</v>
      </c>
      <c r="AD106" s="105">
        <v>133.19999999999999</v>
      </c>
      <c r="AE106" s="105">
        <v>136.4</v>
      </c>
      <c r="AF106" s="105">
        <v>133.4</v>
      </c>
      <c r="AG106" s="106"/>
      <c r="AH106" s="47">
        <f t="shared" si="13"/>
        <v>136.4</v>
      </c>
      <c r="AI106" s="48">
        <f t="shared" si="14"/>
        <v>129</v>
      </c>
    </row>
    <row r="107" spans="1:37" x14ac:dyDescent="0.25">
      <c r="A107" s="102" t="s">
        <v>115</v>
      </c>
      <c r="B107" s="64">
        <v>130.80000000000001</v>
      </c>
      <c r="C107" s="64">
        <v>135.80000000000001</v>
      </c>
      <c r="D107" s="64">
        <v>136.9</v>
      </c>
      <c r="E107" s="64">
        <v>133.4</v>
      </c>
      <c r="F107" s="64">
        <v>134</v>
      </c>
      <c r="G107" s="64">
        <v>134</v>
      </c>
      <c r="H107" s="64">
        <v>135.6</v>
      </c>
      <c r="I107" s="64">
        <v>129</v>
      </c>
      <c r="J107" s="64"/>
      <c r="K107" s="64"/>
      <c r="L107" s="64">
        <v>130.19999999999999</v>
      </c>
      <c r="M107" s="64">
        <v>133.80000000000001</v>
      </c>
      <c r="N107" s="64">
        <v>129.6</v>
      </c>
      <c r="O107" s="64">
        <v>130.80000000000001</v>
      </c>
      <c r="P107" s="64">
        <v>128.4</v>
      </c>
      <c r="Q107" s="64">
        <v>133.80000000000001</v>
      </c>
      <c r="R107" s="64">
        <v>132.19999999999999</v>
      </c>
      <c r="S107" s="64"/>
      <c r="T107" s="64">
        <v>129</v>
      </c>
      <c r="U107" s="64">
        <v>134.6</v>
      </c>
      <c r="V107" s="64">
        <v>132.19999999999999</v>
      </c>
      <c r="W107" s="64">
        <v>132.19999999999999</v>
      </c>
      <c r="X107" s="64">
        <v>132.19999999999999</v>
      </c>
      <c r="Y107" s="64">
        <v>135</v>
      </c>
      <c r="Z107" s="64">
        <v>131.9</v>
      </c>
      <c r="AA107" s="64">
        <v>131.4</v>
      </c>
      <c r="AB107" s="64">
        <v>132.9</v>
      </c>
      <c r="AC107" s="64">
        <v>134.1</v>
      </c>
      <c r="AD107" s="64">
        <v>133.1</v>
      </c>
      <c r="AE107" s="64">
        <v>133.69999999999999</v>
      </c>
      <c r="AF107" s="64">
        <v>134.69999999999999</v>
      </c>
      <c r="AG107" s="103"/>
      <c r="AH107" s="47">
        <f t="shared" si="13"/>
        <v>136.9</v>
      </c>
      <c r="AI107" s="48">
        <f t="shared" si="14"/>
        <v>128.4</v>
      </c>
    </row>
    <row r="108" spans="1:37" ht="15.75" thickBot="1" x14ac:dyDescent="0.3">
      <c r="A108" s="102" t="s">
        <v>116</v>
      </c>
      <c r="B108" s="91">
        <v>65.5</v>
      </c>
      <c r="C108" s="91">
        <v>65.900000000000006</v>
      </c>
      <c r="D108" s="91">
        <v>65.7</v>
      </c>
      <c r="E108" s="91">
        <v>65.5</v>
      </c>
      <c r="F108" s="91">
        <v>64</v>
      </c>
      <c r="G108" s="91">
        <v>64</v>
      </c>
      <c r="H108" s="91">
        <v>64.3</v>
      </c>
      <c r="I108" s="91">
        <v>64.400000000000006</v>
      </c>
      <c r="J108" s="91"/>
      <c r="K108" s="91"/>
      <c r="L108" s="91">
        <v>60.6</v>
      </c>
      <c r="M108" s="91">
        <v>62.9</v>
      </c>
      <c r="N108" s="91">
        <v>63.4</v>
      </c>
      <c r="O108" s="91">
        <v>63.7</v>
      </c>
      <c r="P108" s="91">
        <v>62.6</v>
      </c>
      <c r="Q108" s="91">
        <v>64.2</v>
      </c>
      <c r="R108" s="91">
        <v>63.2</v>
      </c>
      <c r="S108" s="91">
        <v>63.2</v>
      </c>
      <c r="T108" s="91">
        <v>63.2</v>
      </c>
      <c r="U108" s="91">
        <v>63.2</v>
      </c>
      <c r="V108" s="91">
        <v>63.2</v>
      </c>
      <c r="W108" s="91">
        <v>63.2</v>
      </c>
      <c r="X108" s="91">
        <v>63.2</v>
      </c>
      <c r="Y108" s="91">
        <v>64.900000000000006</v>
      </c>
      <c r="Z108" s="91">
        <v>64.900000000000006</v>
      </c>
      <c r="AA108" s="91">
        <v>64.5</v>
      </c>
      <c r="AB108" s="91">
        <v>65.2</v>
      </c>
      <c r="AC108" s="91">
        <v>65.3</v>
      </c>
      <c r="AD108" s="91">
        <v>65.7</v>
      </c>
      <c r="AE108" s="91">
        <v>65.5</v>
      </c>
      <c r="AF108" s="91">
        <v>65.400000000000006</v>
      </c>
      <c r="AG108" s="107"/>
      <c r="AH108" s="47">
        <f t="shared" si="13"/>
        <v>65.900000000000006</v>
      </c>
      <c r="AI108" s="48">
        <f t="shared" si="14"/>
        <v>60.6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5">SUM(B20,B26,B29:B30,B58,B60:B61,B63,B65,B111:B115,B138,B144,B150,B159,B161,B173,B180,B183:B184,B191,B193,B195,B199:B201,B203:B205,B210,B216:B217,B219:B221,B229,B234)</f>
        <v>76.599999999999994</v>
      </c>
      <c r="C110" s="110">
        <f t="shared" si="25"/>
        <v>61.139999999999986</v>
      </c>
      <c r="D110" s="110">
        <f t="shared" si="25"/>
        <v>62.540000000000006</v>
      </c>
      <c r="E110" s="110">
        <f t="shared" si="25"/>
        <v>52.94</v>
      </c>
      <c r="F110" s="110">
        <f t="shared" si="25"/>
        <v>45.440000000000012</v>
      </c>
      <c r="G110" s="110">
        <f t="shared" si="25"/>
        <v>66.940000000000026</v>
      </c>
      <c r="H110" s="110">
        <f t="shared" si="25"/>
        <v>82.94</v>
      </c>
      <c r="I110" s="110">
        <f t="shared" si="25"/>
        <v>118.63999999999999</v>
      </c>
      <c r="J110" s="110">
        <f t="shared" si="25"/>
        <v>31.14</v>
      </c>
      <c r="K110" s="110">
        <f t="shared" si="25"/>
        <v>31.14</v>
      </c>
      <c r="L110" s="110">
        <f t="shared" si="25"/>
        <v>222.64000000000001</v>
      </c>
      <c r="M110" s="110">
        <f t="shared" si="25"/>
        <v>298.44</v>
      </c>
      <c r="N110" s="110">
        <f t="shared" si="25"/>
        <v>280.74</v>
      </c>
      <c r="O110" s="110">
        <f t="shared" si="25"/>
        <v>263.54000000000002</v>
      </c>
      <c r="P110" s="110">
        <v>42</v>
      </c>
      <c r="Q110" s="110">
        <f t="shared" ref="Q110:AF110" si="26">SUM(Q20,Q26,Q29:Q30,Q58,Q60:Q61,Q63,Q65,Q111:Q115,Q138,Q144,Q150,Q159,Q161,Q173,Q180,Q183:Q184,Q191,Q193,Q195,Q199:Q201,Q203:Q205,Q210,Q216:Q217,Q219:Q221,Q229,Q234)</f>
        <v>195.49999999999994</v>
      </c>
      <c r="R110" s="110">
        <f t="shared" si="26"/>
        <v>199.10000000000002</v>
      </c>
      <c r="S110" s="110">
        <f t="shared" si="26"/>
        <v>204.29999999999998</v>
      </c>
      <c r="T110" s="110">
        <f t="shared" si="26"/>
        <v>202.6</v>
      </c>
      <c r="U110" s="110">
        <f t="shared" si="26"/>
        <v>207.20000000000002</v>
      </c>
      <c r="V110" s="110">
        <f t="shared" si="26"/>
        <v>206.99999999999997</v>
      </c>
      <c r="W110" s="110">
        <f t="shared" si="26"/>
        <v>206.99999999999997</v>
      </c>
      <c r="X110" s="110">
        <f t="shared" si="26"/>
        <v>206.4</v>
      </c>
      <c r="Y110" s="110">
        <f t="shared" si="26"/>
        <v>235.20000000000002</v>
      </c>
      <c r="Z110" s="110">
        <f t="shared" si="26"/>
        <v>259.49999999999994</v>
      </c>
      <c r="AA110" s="110">
        <f t="shared" si="26"/>
        <v>238.10000000000005</v>
      </c>
      <c r="AB110" s="110">
        <f t="shared" si="26"/>
        <v>182.49999999999997</v>
      </c>
      <c r="AC110" s="110">
        <f t="shared" si="26"/>
        <v>175.79999999999998</v>
      </c>
      <c r="AD110" s="110">
        <f t="shared" si="26"/>
        <v>122.1</v>
      </c>
      <c r="AE110" s="110">
        <f t="shared" si="26"/>
        <v>112.00000000000001</v>
      </c>
      <c r="AF110" s="110">
        <f t="shared" si="26"/>
        <v>70.300000000000011</v>
      </c>
      <c r="AG110" s="111"/>
      <c r="AH110" s="47">
        <f t="shared" si="13"/>
        <v>298.44</v>
      </c>
      <c r="AI110" s="48">
        <f t="shared" si="14"/>
        <v>31.14</v>
      </c>
    </row>
    <row r="111" spans="1:37" x14ac:dyDescent="0.25">
      <c r="A111" s="99" t="s">
        <v>119</v>
      </c>
      <c r="B111" s="112">
        <v>20.6</v>
      </c>
      <c r="C111" s="112">
        <v>16.600000000000001</v>
      </c>
      <c r="D111" s="112">
        <v>15.9</v>
      </c>
      <c r="E111" s="112"/>
      <c r="F111" s="112">
        <v>12.6</v>
      </c>
      <c r="G111" s="112">
        <v>16.399999999999999</v>
      </c>
      <c r="H111" s="112">
        <v>20.7</v>
      </c>
      <c r="I111" s="112">
        <v>27.4</v>
      </c>
      <c r="J111" s="112"/>
      <c r="K111" s="112"/>
      <c r="L111" s="112">
        <v>67.599999999999994</v>
      </c>
      <c r="M111" s="112">
        <v>59.6</v>
      </c>
      <c r="N111" s="112">
        <v>37.200000000000003</v>
      </c>
      <c r="O111" s="112">
        <v>39.6</v>
      </c>
      <c r="P111" s="112">
        <v>53.4</v>
      </c>
      <c r="Q111" s="112">
        <v>46.1</v>
      </c>
      <c r="R111" s="112">
        <v>45.7</v>
      </c>
      <c r="S111" s="112">
        <v>46.5</v>
      </c>
      <c r="T111" s="112">
        <v>35.1</v>
      </c>
      <c r="U111" s="112">
        <v>35.9</v>
      </c>
      <c r="V111" s="112">
        <v>31.9</v>
      </c>
      <c r="W111" s="112">
        <v>31.9</v>
      </c>
      <c r="X111" s="112">
        <v>31.9</v>
      </c>
      <c r="Y111" s="112">
        <v>40.799999999999997</v>
      </c>
      <c r="Z111" s="112">
        <v>48.7</v>
      </c>
      <c r="AA111" s="112">
        <v>48</v>
      </c>
      <c r="AB111" s="112">
        <v>50.5</v>
      </c>
      <c r="AC111" s="112">
        <v>35.700000000000003</v>
      </c>
      <c r="AD111" s="112">
        <v>23.1</v>
      </c>
      <c r="AE111" s="112">
        <v>20</v>
      </c>
      <c r="AF111" s="112">
        <v>11.1</v>
      </c>
      <c r="AG111" s="113">
        <v>75</v>
      </c>
      <c r="AH111" s="47">
        <f t="shared" si="13"/>
        <v>67.599999999999994</v>
      </c>
      <c r="AI111" s="48">
        <f t="shared" si="14"/>
        <v>11.1</v>
      </c>
    </row>
    <row r="112" spans="1:37" x14ac:dyDescent="0.25">
      <c r="A112" s="102" t="s">
        <v>120</v>
      </c>
      <c r="B112" s="114">
        <v>31.4</v>
      </c>
      <c r="C112" s="114">
        <v>25.9</v>
      </c>
      <c r="D112" s="114">
        <v>25.7</v>
      </c>
      <c r="E112" s="114"/>
      <c r="F112" s="114">
        <v>18.3</v>
      </c>
      <c r="G112" s="114">
        <v>22.7</v>
      </c>
      <c r="H112" s="114">
        <v>27.9</v>
      </c>
      <c r="I112" s="114">
        <v>39</v>
      </c>
      <c r="J112" s="114"/>
      <c r="K112" s="114"/>
      <c r="L112" s="114">
        <v>49.2</v>
      </c>
      <c r="M112" s="114">
        <v>41.3</v>
      </c>
      <c r="N112" s="114">
        <v>48.7</v>
      </c>
      <c r="O112" s="114">
        <v>50.8</v>
      </c>
      <c r="P112" s="114">
        <v>72.400000000000006</v>
      </c>
      <c r="Q112" s="114">
        <v>61.6</v>
      </c>
      <c r="R112" s="114">
        <v>61.8</v>
      </c>
      <c r="S112" s="114">
        <v>63.4</v>
      </c>
      <c r="T112" s="114">
        <v>43.6</v>
      </c>
      <c r="U112" s="114">
        <v>45.7</v>
      </c>
      <c r="V112" s="114">
        <v>38.299999999999997</v>
      </c>
      <c r="W112" s="114">
        <v>38.299999999999997</v>
      </c>
      <c r="X112" s="114">
        <v>38.299999999999997</v>
      </c>
      <c r="Y112" s="114">
        <v>52.8</v>
      </c>
      <c r="Z112" s="114">
        <v>65.900000000000006</v>
      </c>
      <c r="AA112" s="114">
        <v>67.2</v>
      </c>
      <c r="AB112" s="114">
        <v>38.200000000000003</v>
      </c>
      <c r="AC112" s="114">
        <v>47.2</v>
      </c>
      <c r="AD112" s="114">
        <v>32</v>
      </c>
      <c r="AE112" s="114">
        <v>25.9</v>
      </c>
      <c r="AF112" s="114">
        <v>13.3</v>
      </c>
      <c r="AG112" s="113">
        <v>240</v>
      </c>
      <c r="AH112" s="47">
        <f t="shared" si="13"/>
        <v>72.400000000000006</v>
      </c>
      <c r="AI112" s="48">
        <f t="shared" si="14"/>
        <v>13.3</v>
      </c>
    </row>
    <row r="113" spans="1:37" x14ac:dyDescent="0.25">
      <c r="A113" s="102" t="s">
        <v>121</v>
      </c>
      <c r="B113" s="114">
        <v>-130</v>
      </c>
      <c r="C113" s="114">
        <v>-135</v>
      </c>
      <c r="D113" s="114">
        <v>-131</v>
      </c>
      <c r="E113" s="114"/>
      <c r="F113" s="114">
        <v>-130</v>
      </c>
      <c r="G113" s="114">
        <v>-129.6</v>
      </c>
      <c r="H113" s="114">
        <v>-131</v>
      </c>
      <c r="I113" s="114">
        <v>-116</v>
      </c>
      <c r="J113" s="114"/>
      <c r="K113" s="114"/>
      <c r="L113" s="114">
        <v>-45.2</v>
      </c>
      <c r="M113" s="114"/>
      <c r="N113" s="114"/>
      <c r="O113" s="114"/>
      <c r="P113" s="114">
        <v>-45.2</v>
      </c>
      <c r="Q113" s="114">
        <v>-40.200000000000003</v>
      </c>
      <c r="R113" s="114">
        <v>-38.200000000000003</v>
      </c>
      <c r="S113" s="114">
        <v>-45.9</v>
      </c>
      <c r="T113" s="114">
        <v>-59.9</v>
      </c>
      <c r="U113" s="114">
        <v>-60.2</v>
      </c>
      <c r="V113" s="114">
        <v>-42.2</v>
      </c>
      <c r="W113" s="114">
        <v>-42.2</v>
      </c>
      <c r="X113" s="114">
        <v>-42.2</v>
      </c>
      <c r="Y113" s="114">
        <v>-37.299999999999997</v>
      </c>
      <c r="Z113" s="114">
        <v>-44</v>
      </c>
      <c r="AA113" s="114">
        <v>-61.2</v>
      </c>
      <c r="AB113" s="114">
        <v>-65.900000000000006</v>
      </c>
      <c r="AC113" s="114">
        <v>-76</v>
      </c>
      <c r="AD113" s="114">
        <v>-95</v>
      </c>
      <c r="AE113" s="114">
        <v>-96</v>
      </c>
      <c r="AF113" s="114">
        <v>-92.1</v>
      </c>
      <c r="AG113" s="113">
        <v>240</v>
      </c>
      <c r="AH113" s="47">
        <f t="shared" si="13"/>
        <v>-37.299999999999997</v>
      </c>
      <c r="AI113" s="48">
        <f t="shared" si="14"/>
        <v>-135</v>
      </c>
    </row>
    <row r="114" spans="1:37" x14ac:dyDescent="0.25">
      <c r="A114" s="102" t="s">
        <v>122</v>
      </c>
      <c r="B114" s="114">
        <v>-8.5</v>
      </c>
      <c r="C114" s="114">
        <v>-7.7</v>
      </c>
      <c r="D114" s="114">
        <v>-10</v>
      </c>
      <c r="E114" s="114"/>
      <c r="F114" s="114">
        <v>-9.9</v>
      </c>
      <c r="G114" s="114">
        <v>-7</v>
      </c>
      <c r="H114" s="114">
        <v>-6</v>
      </c>
      <c r="I114" s="114">
        <v>-1.8</v>
      </c>
      <c r="J114" s="114"/>
      <c r="K114" s="114"/>
      <c r="L114" s="114">
        <v>0</v>
      </c>
      <c r="M114" s="114">
        <v>0</v>
      </c>
      <c r="N114" s="114">
        <v>2.1</v>
      </c>
      <c r="O114" s="114">
        <v>7.5</v>
      </c>
      <c r="P114" s="114">
        <v>9.6999999999999993</v>
      </c>
      <c r="Q114" s="114">
        <v>9.6999999999999993</v>
      </c>
      <c r="R114" s="114">
        <v>8.1999999999999993</v>
      </c>
      <c r="S114" s="114">
        <v>8.1999999999999993</v>
      </c>
      <c r="T114" s="114">
        <v>3.3</v>
      </c>
      <c r="U114" s="114">
        <v>2.5</v>
      </c>
      <c r="V114" s="114">
        <v>6.9</v>
      </c>
      <c r="W114" s="114">
        <v>6.9</v>
      </c>
      <c r="X114" s="114">
        <v>6.9</v>
      </c>
      <c r="Y114" s="114">
        <v>11.2</v>
      </c>
      <c r="Z114" s="114">
        <v>9.6999999999999993</v>
      </c>
      <c r="AA114" s="114">
        <v>5.8</v>
      </c>
      <c r="AB114" s="114">
        <v>-1.3</v>
      </c>
      <c r="AC114" s="114">
        <v>-1.4</v>
      </c>
      <c r="AD114" s="114">
        <v>-9.5</v>
      </c>
      <c r="AE114" s="114">
        <v>-10.1</v>
      </c>
      <c r="AF114" s="114">
        <v>-9.6</v>
      </c>
      <c r="AG114" s="113">
        <v>60</v>
      </c>
      <c r="AH114" s="47">
        <f t="shared" si="13"/>
        <v>11.2</v>
      </c>
      <c r="AI114" s="48">
        <f t="shared" si="14"/>
        <v>-10.1</v>
      </c>
    </row>
    <row r="115" spans="1:37" x14ac:dyDescent="0.25">
      <c r="A115" s="115" t="s">
        <v>123</v>
      </c>
      <c r="B115" s="116">
        <v>28.6</v>
      </c>
      <c r="C115" s="116">
        <v>28.7</v>
      </c>
      <c r="D115" s="116">
        <v>29.2</v>
      </c>
      <c r="E115" s="116"/>
      <c r="F115" s="116">
        <v>29.7</v>
      </c>
      <c r="G115" s="116">
        <v>29.4</v>
      </c>
      <c r="H115" s="116">
        <v>36</v>
      </c>
      <c r="I115" s="116">
        <v>35.9</v>
      </c>
      <c r="J115" s="116"/>
      <c r="K115" s="116"/>
      <c r="L115" s="116">
        <v>71.900000000000006</v>
      </c>
      <c r="M115" s="116">
        <v>58.8</v>
      </c>
      <c r="N115" s="116">
        <v>48.4</v>
      </c>
      <c r="O115" s="116">
        <v>21.3</v>
      </c>
      <c r="P115" s="116">
        <v>30.8</v>
      </c>
      <c r="Q115" s="116">
        <v>32.200000000000003</v>
      </c>
      <c r="R115" s="116">
        <v>31.7</v>
      </c>
      <c r="S115" s="116">
        <v>31.9</v>
      </c>
      <c r="T115" s="116">
        <v>31.1</v>
      </c>
      <c r="U115" s="116">
        <v>31.6</v>
      </c>
      <c r="V115" s="116">
        <v>30.2</v>
      </c>
      <c r="W115" s="116">
        <v>30.2</v>
      </c>
      <c r="X115" s="116">
        <v>30.2</v>
      </c>
      <c r="Y115" s="116">
        <v>27.4</v>
      </c>
      <c r="Z115" s="116">
        <v>28.9</v>
      </c>
      <c r="AA115" s="116">
        <v>29.1</v>
      </c>
      <c r="AB115" s="116">
        <v>20.5</v>
      </c>
      <c r="AC115" s="116">
        <v>29.8</v>
      </c>
      <c r="AD115" s="116">
        <v>31</v>
      </c>
      <c r="AE115" s="116">
        <v>31.7</v>
      </c>
      <c r="AF115" s="116">
        <v>32</v>
      </c>
      <c r="AG115" s="117">
        <v>120</v>
      </c>
      <c r="AH115" s="47">
        <f t="shared" si="13"/>
        <v>71.900000000000006</v>
      </c>
      <c r="AI115" s="48">
        <f t="shared" si="14"/>
        <v>20.5</v>
      </c>
    </row>
    <row r="116" spans="1:37" x14ac:dyDescent="0.25">
      <c r="A116" s="115" t="s">
        <v>124</v>
      </c>
      <c r="B116" s="116">
        <v>39</v>
      </c>
      <c r="C116" s="116">
        <v>39.6</v>
      </c>
      <c r="D116" s="116">
        <v>37.700000000000003</v>
      </c>
      <c r="E116" s="116"/>
      <c r="F116" s="116">
        <v>30.8</v>
      </c>
      <c r="G116" s="116">
        <v>35.299999999999997</v>
      </c>
      <c r="H116" s="116">
        <v>24.9</v>
      </c>
      <c r="I116" s="116">
        <v>21</v>
      </c>
      <c r="J116" s="116"/>
      <c r="K116" s="116"/>
      <c r="L116" s="116">
        <v>51.6</v>
      </c>
      <c r="M116" s="116">
        <v>45.6</v>
      </c>
      <c r="N116" s="116">
        <v>56.9</v>
      </c>
      <c r="O116" s="116">
        <v>72.8</v>
      </c>
      <c r="P116" s="116">
        <v>76.2</v>
      </c>
      <c r="Q116" s="116">
        <v>73.400000000000006</v>
      </c>
      <c r="R116" s="116">
        <v>77.8</v>
      </c>
      <c r="S116" s="116">
        <v>71.599999999999994</v>
      </c>
      <c r="T116" s="116">
        <v>73.5</v>
      </c>
      <c r="U116" s="116">
        <v>60.2</v>
      </c>
      <c r="V116" s="116">
        <v>43.9</v>
      </c>
      <c r="W116" s="116">
        <v>43.9</v>
      </c>
      <c r="X116" s="116">
        <v>43.9</v>
      </c>
      <c r="Y116" s="116">
        <v>47.1</v>
      </c>
      <c r="Z116" s="116">
        <v>53.7</v>
      </c>
      <c r="AA116" s="116">
        <v>36.700000000000003</v>
      </c>
      <c r="AB116" s="116">
        <v>47.8</v>
      </c>
      <c r="AC116" s="116">
        <v>44.3</v>
      </c>
      <c r="AD116" s="116">
        <v>36.5</v>
      </c>
      <c r="AE116" s="116">
        <v>40.700000000000003</v>
      </c>
      <c r="AF116" s="116">
        <v>66.599999999999994</v>
      </c>
      <c r="AG116" s="117"/>
      <c r="AH116" s="47">
        <f t="shared" si="13"/>
        <v>77.8</v>
      </c>
      <c r="AI116" s="48">
        <f t="shared" si="14"/>
        <v>21</v>
      </c>
    </row>
    <row r="117" spans="1:37" x14ac:dyDescent="0.25">
      <c r="A117" s="115" t="s">
        <v>125</v>
      </c>
      <c r="B117" s="116">
        <v>-4.8</v>
      </c>
      <c r="C117" s="116">
        <v>-1.4</v>
      </c>
      <c r="D117" s="116">
        <v>-7</v>
      </c>
      <c r="E117" s="116"/>
      <c r="F117" s="116">
        <v>0</v>
      </c>
      <c r="G117" s="116">
        <v>-4.3</v>
      </c>
      <c r="H117" s="116">
        <v>-10.5</v>
      </c>
      <c r="I117" s="116">
        <v>-16.3</v>
      </c>
      <c r="J117" s="116"/>
      <c r="K117" s="116"/>
      <c r="L117" s="116">
        <v>-53.9</v>
      </c>
      <c r="M117" s="116">
        <v>-32.200000000000003</v>
      </c>
      <c r="N117" s="116">
        <v>-23.4</v>
      </c>
      <c r="O117" s="116"/>
      <c r="P117" s="116">
        <v>-37</v>
      </c>
      <c r="Q117" s="116">
        <v>-35.700000000000003</v>
      </c>
      <c r="R117" s="116"/>
      <c r="S117" s="116"/>
      <c r="T117" s="116">
        <v>-40</v>
      </c>
      <c r="U117" s="116">
        <v>-40.200000000000003</v>
      </c>
      <c r="V117" s="116">
        <v>-46.5</v>
      </c>
      <c r="W117" s="116">
        <v>-46.5</v>
      </c>
      <c r="X117" s="116">
        <v>-46.5</v>
      </c>
      <c r="Y117" s="116">
        <v>-42.2</v>
      </c>
      <c r="Z117" s="116">
        <v>-34.4</v>
      </c>
      <c r="AA117" s="116">
        <v>-34.4</v>
      </c>
      <c r="AB117" s="116">
        <v>-33.9</v>
      </c>
      <c r="AC117" s="116">
        <v>-30.5</v>
      </c>
      <c r="AD117" s="116">
        <v>-9.4</v>
      </c>
      <c r="AE117" s="116">
        <v>-12.9</v>
      </c>
      <c r="AF117" s="116">
        <v>-9.4</v>
      </c>
      <c r="AG117" s="118"/>
      <c r="AH117" s="47">
        <f t="shared" si="13"/>
        <v>0</v>
      </c>
      <c r="AI117" s="48">
        <f t="shared" si="14"/>
        <v>-53.9</v>
      </c>
    </row>
    <row r="118" spans="1:37" x14ac:dyDescent="0.25">
      <c r="A118" s="119" t="s">
        <v>126</v>
      </c>
      <c r="B118" s="105">
        <v>24.2</v>
      </c>
      <c r="C118" s="105">
        <v>29.7</v>
      </c>
      <c r="D118" s="105">
        <v>30.3</v>
      </c>
      <c r="E118" s="105"/>
      <c r="F118" s="105">
        <v>34.4</v>
      </c>
      <c r="G118" s="105">
        <v>35.9</v>
      </c>
      <c r="H118" s="105">
        <v>39</v>
      </c>
      <c r="I118" s="105">
        <v>43.2</v>
      </c>
      <c r="J118" s="105"/>
      <c r="K118" s="105"/>
      <c r="L118" s="105">
        <v>37.700000000000003</v>
      </c>
      <c r="M118" s="105">
        <v>36.799999999999997</v>
      </c>
      <c r="N118" s="105">
        <v>43</v>
      </c>
      <c r="O118" s="105">
        <v>46.1</v>
      </c>
      <c r="P118" s="105">
        <v>26.3</v>
      </c>
      <c r="Q118" s="105">
        <v>37.200000000000003</v>
      </c>
      <c r="R118" s="105">
        <v>34.799999999999997</v>
      </c>
      <c r="S118" s="105">
        <v>36.1</v>
      </c>
      <c r="T118" s="105">
        <v>32.200000000000003</v>
      </c>
      <c r="U118" s="105">
        <v>22.8</v>
      </c>
      <c r="V118" s="105">
        <v>34.6</v>
      </c>
      <c r="W118" s="105">
        <v>34.6</v>
      </c>
      <c r="X118" s="105">
        <v>34.6</v>
      </c>
      <c r="Y118" s="105">
        <v>23.1</v>
      </c>
      <c r="Z118" s="105">
        <v>16.3</v>
      </c>
      <c r="AA118" s="105">
        <v>18.3</v>
      </c>
      <c r="AB118" s="105">
        <v>20.399999999999999</v>
      </c>
      <c r="AC118" s="105">
        <v>-30.5</v>
      </c>
      <c r="AD118" s="105">
        <v>25.1</v>
      </c>
      <c r="AE118" s="105">
        <v>31.6</v>
      </c>
      <c r="AF118" s="105">
        <v>33.799999999999997</v>
      </c>
      <c r="AG118" s="118"/>
      <c r="AH118" s="47">
        <f t="shared" si="13"/>
        <v>46.1</v>
      </c>
      <c r="AI118" s="48">
        <f t="shared" si="14"/>
        <v>-30.5</v>
      </c>
    </row>
    <row r="119" spans="1:37" x14ac:dyDescent="0.25">
      <c r="A119" s="120" t="s">
        <v>127</v>
      </c>
      <c r="B119" s="105">
        <v>83.5</v>
      </c>
      <c r="C119" s="105">
        <v>87.3</v>
      </c>
      <c r="D119" s="105">
        <v>97.7</v>
      </c>
      <c r="E119" s="105"/>
      <c r="F119" s="105">
        <v>86</v>
      </c>
      <c r="G119" s="105">
        <v>93</v>
      </c>
      <c r="H119" s="105">
        <v>87.1</v>
      </c>
      <c r="I119" s="105">
        <v>92</v>
      </c>
      <c r="J119" s="105"/>
      <c r="K119" s="105"/>
      <c r="L119" s="105">
        <v>60.6</v>
      </c>
      <c r="M119" s="105">
        <v>72.2</v>
      </c>
      <c r="N119" s="105">
        <v>68.3</v>
      </c>
      <c r="O119" s="105">
        <v>52.1</v>
      </c>
      <c r="P119" s="105">
        <v>50.7</v>
      </c>
      <c r="Q119" s="105">
        <v>45</v>
      </c>
      <c r="R119" s="105">
        <v>47.9</v>
      </c>
      <c r="S119" s="105">
        <v>56</v>
      </c>
      <c r="T119" s="105">
        <v>59.3</v>
      </c>
      <c r="U119" s="105">
        <v>60.8</v>
      </c>
      <c r="V119" s="105">
        <v>46.5</v>
      </c>
      <c r="W119" s="105">
        <v>46.5</v>
      </c>
      <c r="X119" s="105">
        <v>46.5</v>
      </c>
      <c r="Y119" s="105">
        <v>45</v>
      </c>
      <c r="Z119" s="105">
        <v>53.5</v>
      </c>
      <c r="AA119" s="105">
        <v>62.8</v>
      </c>
      <c r="AB119" s="105">
        <v>67</v>
      </c>
      <c r="AC119" s="105">
        <v>74</v>
      </c>
      <c r="AD119" s="105">
        <v>76.400000000000006</v>
      </c>
      <c r="AE119" s="105">
        <v>79.099999999999994</v>
      </c>
      <c r="AF119" s="105">
        <v>70.900000000000006</v>
      </c>
      <c r="AG119" s="118"/>
      <c r="AH119" s="47">
        <f t="shared" si="13"/>
        <v>97.7</v>
      </c>
      <c r="AI119" s="48">
        <f t="shared" si="14"/>
        <v>45</v>
      </c>
    </row>
    <row r="120" spans="1:37" ht="15.75" thickBot="1" x14ac:dyDescent="0.3">
      <c r="A120" s="119" t="s">
        <v>128</v>
      </c>
      <c r="B120" s="105">
        <v>53.4</v>
      </c>
      <c r="C120" s="105">
        <v>44.6</v>
      </c>
      <c r="D120" s="105">
        <v>39</v>
      </c>
      <c r="E120" s="105"/>
      <c r="F120" s="105">
        <v>25.5</v>
      </c>
      <c r="G120" s="105">
        <v>24.5</v>
      </c>
      <c r="H120" s="105">
        <v>18.100000000000001</v>
      </c>
      <c r="I120" s="105">
        <v>6.9</v>
      </c>
      <c r="J120" s="105"/>
      <c r="K120" s="105"/>
      <c r="L120" s="105">
        <v>10.5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26.4</v>
      </c>
      <c r="Z120" s="105">
        <v>41</v>
      </c>
      <c r="AA120" s="105">
        <v>37.799999999999997</v>
      </c>
      <c r="AB120" s="105">
        <v>37.9</v>
      </c>
      <c r="AC120" s="105">
        <v>34.5</v>
      </c>
      <c r="AD120" s="105">
        <v>37.1</v>
      </c>
      <c r="AE120" s="105">
        <v>40.200000000000003</v>
      </c>
      <c r="AF120" s="105">
        <v>33.1</v>
      </c>
      <c r="AG120" s="118"/>
      <c r="AH120" s="47">
        <f t="shared" si="13"/>
        <v>53.4</v>
      </c>
      <c r="AI120" s="48">
        <f t="shared" si="14"/>
        <v>0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05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7">SUM(B122:B226)</f>
        <v>0</v>
      </c>
      <c r="C227" s="136">
        <f t="shared" si="27"/>
        <v>0</v>
      </c>
      <c r="D227" s="136">
        <f t="shared" si="27"/>
        <v>0</v>
      </c>
      <c r="E227" s="136">
        <f t="shared" si="27"/>
        <v>0</v>
      </c>
      <c r="F227" s="136">
        <f t="shared" si="27"/>
        <v>0</v>
      </c>
      <c r="G227" s="136">
        <f t="shared" si="27"/>
        <v>0</v>
      </c>
      <c r="H227" s="136">
        <f t="shared" si="27"/>
        <v>0</v>
      </c>
      <c r="I227" s="136">
        <f t="shared" si="27"/>
        <v>0</v>
      </c>
      <c r="J227" s="136">
        <f t="shared" si="27"/>
        <v>0</v>
      </c>
      <c r="K227" s="136">
        <f t="shared" si="27"/>
        <v>0</v>
      </c>
      <c r="L227" s="136">
        <f t="shared" si="27"/>
        <v>0</v>
      </c>
      <c r="M227" s="136">
        <f t="shared" si="27"/>
        <v>0</v>
      </c>
      <c r="N227" s="136">
        <f t="shared" si="27"/>
        <v>0</v>
      </c>
      <c r="O227" s="136">
        <f t="shared" si="27"/>
        <v>0</v>
      </c>
      <c r="P227" s="136">
        <f t="shared" si="27"/>
        <v>0</v>
      </c>
      <c r="Q227" s="136">
        <f t="shared" si="27"/>
        <v>0</v>
      </c>
      <c r="R227" s="136">
        <f t="shared" si="27"/>
        <v>0</v>
      </c>
      <c r="S227" s="136">
        <f t="shared" si="27"/>
        <v>0</v>
      </c>
      <c r="T227" s="136">
        <f t="shared" si="27"/>
        <v>0</v>
      </c>
      <c r="U227" s="136">
        <f t="shared" si="27"/>
        <v>0</v>
      </c>
      <c r="V227" s="136">
        <f t="shared" si="27"/>
        <v>0</v>
      </c>
      <c r="W227" s="136">
        <f t="shared" si="27"/>
        <v>0</v>
      </c>
      <c r="X227" s="136">
        <f t="shared" si="27"/>
        <v>0</v>
      </c>
      <c r="Y227" s="136">
        <f t="shared" si="27"/>
        <v>0</v>
      </c>
      <c r="Z227" s="136">
        <f t="shared" si="27"/>
        <v>0</v>
      </c>
      <c r="AA227" s="136">
        <f t="shared" si="27"/>
        <v>0</v>
      </c>
      <c r="AB227" s="136">
        <f t="shared" si="27"/>
        <v>0</v>
      </c>
      <c r="AC227" s="136">
        <f t="shared" si="27"/>
        <v>0</v>
      </c>
      <c r="AD227" s="136">
        <f t="shared" si="27"/>
        <v>0</v>
      </c>
      <c r="AE227" s="136">
        <f t="shared" si="27"/>
        <v>0</v>
      </c>
      <c r="AF227" s="137">
        <f t="shared" si="27"/>
        <v>0</v>
      </c>
      <c r="AG227" s="138">
        <f t="shared" si="2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8">AF229</f>
        <v>0</v>
      </c>
      <c r="C229" s="140">
        <v>0.3</v>
      </c>
      <c r="D229" s="140">
        <f t="shared" ref="D229:P234" si="29">C229</f>
        <v>0.3</v>
      </c>
      <c r="E229" s="140">
        <f t="shared" si="29"/>
        <v>0.3</v>
      </c>
      <c r="F229" s="140">
        <f t="shared" si="29"/>
        <v>0.3</v>
      </c>
      <c r="G229" s="140">
        <f t="shared" si="29"/>
        <v>0.3</v>
      </c>
      <c r="H229" s="140">
        <f t="shared" si="29"/>
        <v>0.3</v>
      </c>
      <c r="I229" s="140">
        <f t="shared" si="29"/>
        <v>0.3</v>
      </c>
      <c r="J229" s="140">
        <f t="shared" si="29"/>
        <v>0.3</v>
      </c>
      <c r="K229" s="140">
        <f t="shared" si="29"/>
        <v>0.3</v>
      </c>
      <c r="L229" s="140">
        <f t="shared" si="29"/>
        <v>0.3</v>
      </c>
      <c r="M229" s="140">
        <f t="shared" si="29"/>
        <v>0.3</v>
      </c>
      <c r="N229" s="140">
        <f t="shared" si="29"/>
        <v>0.3</v>
      </c>
      <c r="O229" s="140">
        <f t="shared" si="29"/>
        <v>0.3</v>
      </c>
      <c r="P229" s="140">
        <f t="shared" si="2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8"/>
        <v>0</v>
      </c>
      <c r="C230" s="128">
        <v>0.4</v>
      </c>
      <c r="D230" s="128">
        <f t="shared" si="29"/>
        <v>0.4</v>
      </c>
      <c r="E230" s="128">
        <f t="shared" si="29"/>
        <v>0.4</v>
      </c>
      <c r="F230" s="128">
        <f t="shared" si="29"/>
        <v>0.4</v>
      </c>
      <c r="G230" s="128">
        <f t="shared" si="29"/>
        <v>0.4</v>
      </c>
      <c r="H230" s="128">
        <f t="shared" si="29"/>
        <v>0.4</v>
      </c>
      <c r="I230" s="128">
        <f t="shared" si="29"/>
        <v>0.4</v>
      </c>
      <c r="J230" s="128">
        <f t="shared" si="29"/>
        <v>0.4</v>
      </c>
      <c r="K230" s="128">
        <f t="shared" si="29"/>
        <v>0.4</v>
      </c>
      <c r="L230" s="128">
        <f t="shared" si="29"/>
        <v>0.4</v>
      </c>
      <c r="M230" s="128">
        <f t="shared" si="29"/>
        <v>0.4</v>
      </c>
      <c r="N230" s="128">
        <f t="shared" si="29"/>
        <v>0.4</v>
      </c>
      <c r="O230" s="128">
        <f t="shared" si="29"/>
        <v>0.4</v>
      </c>
      <c r="P230" s="128">
        <f t="shared" si="2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8"/>
        <v>0</v>
      </c>
      <c r="C231" s="128">
        <v>1.5</v>
      </c>
      <c r="D231" s="128">
        <f t="shared" si="29"/>
        <v>1.5</v>
      </c>
      <c r="E231" s="128">
        <f t="shared" si="29"/>
        <v>1.5</v>
      </c>
      <c r="F231" s="128">
        <f t="shared" si="29"/>
        <v>1.5</v>
      </c>
      <c r="G231" s="128">
        <f t="shared" si="29"/>
        <v>1.5</v>
      </c>
      <c r="H231" s="128">
        <f t="shared" si="2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9"/>
        <v>123.21900000000009</v>
      </c>
      <c r="K231" s="128">
        <f t="shared" ca="1" si="29"/>
        <v>123.21900000000009</v>
      </c>
      <c r="L231" s="128">
        <f t="shared" ca="1" si="29"/>
        <v>123.21900000000009</v>
      </c>
      <c r="M231" s="128">
        <f t="shared" ca="1" si="29"/>
        <v>119.19900000000008</v>
      </c>
      <c r="N231" s="128">
        <f t="shared" ca="1" si="29"/>
        <v>119.19900000000008</v>
      </c>
      <c r="O231" s="128">
        <f t="shared" ca="1" si="29"/>
        <v>119.19900000000008</v>
      </c>
      <c r="P231" s="128">
        <f t="shared" ca="1" si="2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8"/>
        <v>0</v>
      </c>
      <c r="C232" s="128">
        <v>0.3</v>
      </c>
      <c r="D232" s="128">
        <f t="shared" si="29"/>
        <v>0.3</v>
      </c>
      <c r="E232" s="128">
        <f t="shared" si="29"/>
        <v>0.3</v>
      </c>
      <c r="F232" s="128">
        <f t="shared" si="29"/>
        <v>0.3</v>
      </c>
      <c r="G232" s="128">
        <f t="shared" si="29"/>
        <v>0.3</v>
      </c>
      <c r="H232" s="128">
        <f t="shared" si="29"/>
        <v>0.3</v>
      </c>
      <c r="I232" s="128">
        <f t="shared" si="29"/>
        <v>0.3</v>
      </c>
      <c r="J232" s="128">
        <f t="shared" si="29"/>
        <v>0.3</v>
      </c>
      <c r="K232" s="128">
        <f t="shared" si="29"/>
        <v>0.3</v>
      </c>
      <c r="L232" s="128">
        <f t="shared" si="29"/>
        <v>0.3</v>
      </c>
      <c r="M232" s="128">
        <f t="shared" si="29"/>
        <v>0.3</v>
      </c>
      <c r="N232" s="128">
        <f t="shared" si="29"/>
        <v>0.3</v>
      </c>
      <c r="O232" s="128">
        <f t="shared" si="29"/>
        <v>0.3</v>
      </c>
      <c r="P232" s="128">
        <f t="shared" si="2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8"/>
        <v>0</v>
      </c>
      <c r="C233" s="128">
        <v>0.4</v>
      </c>
      <c r="D233" s="128">
        <f t="shared" si="29"/>
        <v>0.4</v>
      </c>
      <c r="E233" s="128">
        <f t="shared" si="29"/>
        <v>0.4</v>
      </c>
      <c r="F233" s="128">
        <f t="shared" si="29"/>
        <v>0.4</v>
      </c>
      <c r="G233" s="128">
        <f t="shared" si="29"/>
        <v>0.4</v>
      </c>
      <c r="H233" s="128">
        <f t="shared" si="29"/>
        <v>0.4</v>
      </c>
      <c r="I233" s="128">
        <f t="shared" si="29"/>
        <v>0.4</v>
      </c>
      <c r="J233" s="128">
        <f t="shared" si="29"/>
        <v>0.4</v>
      </c>
      <c r="K233" s="128">
        <f t="shared" si="29"/>
        <v>0.4</v>
      </c>
      <c r="L233" s="128">
        <f t="shared" si="29"/>
        <v>0.4</v>
      </c>
      <c r="M233" s="128">
        <f t="shared" si="29"/>
        <v>0.4</v>
      </c>
      <c r="N233" s="128">
        <f t="shared" si="29"/>
        <v>0.4</v>
      </c>
      <c r="O233" s="128">
        <f t="shared" si="29"/>
        <v>0.4</v>
      </c>
      <c r="P233" s="128">
        <f t="shared" si="2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8"/>
        <v>0</v>
      </c>
      <c r="C234" s="132">
        <v>0.64</v>
      </c>
      <c r="D234" s="132">
        <f t="shared" si="29"/>
        <v>0.64</v>
      </c>
      <c r="E234" s="132">
        <f t="shared" si="29"/>
        <v>0.64</v>
      </c>
      <c r="F234" s="132">
        <f t="shared" si="29"/>
        <v>0.64</v>
      </c>
      <c r="G234" s="132">
        <f t="shared" si="29"/>
        <v>0.64</v>
      </c>
      <c r="H234" s="132">
        <f t="shared" si="29"/>
        <v>0.64</v>
      </c>
      <c r="I234" s="132">
        <f t="shared" si="29"/>
        <v>0.64</v>
      </c>
      <c r="J234" s="132">
        <f t="shared" si="29"/>
        <v>0.64</v>
      </c>
      <c r="K234" s="132">
        <f t="shared" si="29"/>
        <v>0.64</v>
      </c>
      <c r="L234" s="132">
        <f t="shared" si="29"/>
        <v>0.64</v>
      </c>
      <c r="M234" s="132">
        <f t="shared" si="29"/>
        <v>0.64</v>
      </c>
      <c r="N234" s="132">
        <f t="shared" si="29"/>
        <v>0.64</v>
      </c>
      <c r="O234" s="132">
        <f t="shared" si="29"/>
        <v>0.64</v>
      </c>
      <c r="P234" s="132">
        <f t="shared" si="2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0">SUM(B229:B234)</f>
        <v>0</v>
      </c>
      <c r="C235" s="136">
        <f t="shared" si="30"/>
        <v>3.54</v>
      </c>
      <c r="D235" s="136">
        <f t="shared" si="30"/>
        <v>3.54</v>
      </c>
      <c r="E235" s="136">
        <f t="shared" si="30"/>
        <v>3.54</v>
      </c>
      <c r="F235" s="136">
        <f t="shared" si="30"/>
        <v>3.54</v>
      </c>
      <c r="G235" s="136">
        <f t="shared" si="30"/>
        <v>3.54</v>
      </c>
      <c r="H235" s="136">
        <f t="shared" si="30"/>
        <v>3.54</v>
      </c>
      <c r="I235" s="136">
        <f t="shared" ca="1" si="30"/>
        <v>121.23900000000009</v>
      </c>
      <c r="J235" s="136">
        <f t="shared" ca="1" si="30"/>
        <v>121.23900000000009</v>
      </c>
      <c r="K235" s="136">
        <f t="shared" ca="1" si="30"/>
        <v>121.23900000000009</v>
      </c>
      <c r="L235" s="136">
        <f t="shared" ca="1" si="30"/>
        <v>125.2590000000001</v>
      </c>
      <c r="M235" s="136">
        <f t="shared" ca="1" si="30"/>
        <v>121.23900000000009</v>
      </c>
      <c r="N235" s="136">
        <f t="shared" ca="1" si="30"/>
        <v>121.23900000000009</v>
      </c>
      <c r="O235" s="136">
        <f t="shared" ca="1" si="30"/>
        <v>121.23900000000009</v>
      </c>
      <c r="P235" s="136">
        <f t="shared" ca="1" si="30"/>
        <v>121.23900000000009</v>
      </c>
      <c r="Q235" s="136">
        <f t="shared" si="30"/>
        <v>0</v>
      </c>
      <c r="R235" s="136">
        <f t="shared" si="30"/>
        <v>0</v>
      </c>
      <c r="S235" s="136">
        <f t="shared" si="30"/>
        <v>0</v>
      </c>
      <c r="T235" s="136">
        <f t="shared" si="30"/>
        <v>0</v>
      </c>
      <c r="U235" s="136">
        <f t="shared" si="30"/>
        <v>0</v>
      </c>
      <c r="V235" s="136">
        <f t="shared" si="30"/>
        <v>0</v>
      </c>
      <c r="W235" s="136">
        <f t="shared" si="30"/>
        <v>0</v>
      </c>
      <c r="X235" s="136">
        <f t="shared" si="30"/>
        <v>0</v>
      </c>
      <c r="Y235" s="136">
        <f t="shared" si="30"/>
        <v>0</v>
      </c>
      <c r="Z235" s="136">
        <f t="shared" si="30"/>
        <v>0</v>
      </c>
      <c r="AA235" s="136">
        <f t="shared" si="30"/>
        <v>0</v>
      </c>
      <c r="AB235" s="136">
        <f t="shared" si="30"/>
        <v>0</v>
      </c>
      <c r="AC235" s="136">
        <f t="shared" si="30"/>
        <v>0</v>
      </c>
      <c r="AD235" s="136">
        <f t="shared" si="30"/>
        <v>0</v>
      </c>
      <c r="AE235" s="136">
        <f t="shared" si="30"/>
        <v>0</v>
      </c>
      <c r="AF235" s="136">
        <f t="shared" si="30"/>
        <v>0</v>
      </c>
      <c r="AG235" s="145">
        <f t="shared" si="3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2000.78</v>
      </c>
      <c r="C244" s="161">
        <f>INDEX(G9:N9,1,MATCH(MAX(G91:N91),G91:N91,0))</f>
        <v>0.25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1">B91</f>
        <v>1984.74</v>
      </c>
      <c r="U249" s="170">
        <f t="shared" si="31"/>
        <v>1975.6400000000003</v>
      </c>
      <c r="V249" s="170">
        <f t="shared" si="31"/>
        <v>1950.5400000000002</v>
      </c>
      <c r="W249" s="170">
        <f t="shared" si="31"/>
        <v>1912.54</v>
      </c>
      <c r="X249" s="170">
        <f t="shared" si="31"/>
        <v>1893.1800000000003</v>
      </c>
      <c r="Y249" s="170">
        <f t="shared" si="31"/>
        <v>1938.08</v>
      </c>
      <c r="Z249" s="170">
        <f t="shared" si="31"/>
        <v>1974.12</v>
      </c>
      <c r="AA249" s="170">
        <f t="shared" si="31"/>
        <v>2000.78</v>
      </c>
      <c r="AB249" s="170">
        <f t="shared" si="31"/>
        <v>1020.94</v>
      </c>
      <c r="AC249" s="170">
        <f t="shared" si="31"/>
        <v>620.94000000000005</v>
      </c>
      <c r="AD249" s="170">
        <f t="shared" si="31"/>
        <v>1943.0800000000002</v>
      </c>
      <c r="AE249" s="170">
        <f t="shared" si="31"/>
        <v>1977.6399999999999</v>
      </c>
      <c r="AF249" s="170">
        <f t="shared" si="31"/>
        <v>1940.04</v>
      </c>
      <c r="AG249" s="170">
        <f t="shared" si="31"/>
        <v>1995.14</v>
      </c>
      <c r="AH249" s="170">
        <f t="shared" si="31"/>
        <v>1993.94</v>
      </c>
      <c r="AI249" s="170">
        <f t="shared" si="31"/>
        <v>1950.4399999999998</v>
      </c>
      <c r="AJ249" s="170">
        <f t="shared" si="31"/>
        <v>1887.14</v>
      </c>
      <c r="AK249" s="170">
        <f t="shared" si="31"/>
        <v>1898.84</v>
      </c>
      <c r="AL249" s="170">
        <f t="shared" si="31"/>
        <v>1923.94</v>
      </c>
      <c r="AM249" s="170">
        <f t="shared" si="31"/>
        <v>1929.94</v>
      </c>
      <c r="AN249" s="170">
        <f t="shared" si="31"/>
        <v>1884.7400000000002</v>
      </c>
      <c r="AO249" s="170">
        <f t="shared" si="31"/>
        <v>1884.7400000000002</v>
      </c>
      <c r="AP249" s="170">
        <f t="shared" si="31"/>
        <v>1884.14</v>
      </c>
      <c r="AQ249" s="170">
        <f t="shared" si="31"/>
        <v>1926.54</v>
      </c>
      <c r="AR249" s="170">
        <f t="shared" si="31"/>
        <v>1980.94</v>
      </c>
      <c r="AS249" s="170">
        <f t="shared" si="31"/>
        <v>1988.94</v>
      </c>
      <c r="AT249" s="170">
        <f t="shared" si="31"/>
        <v>2026.34</v>
      </c>
      <c r="AU249" s="170">
        <f t="shared" si="31"/>
        <v>2015.74</v>
      </c>
      <c r="AV249" s="170">
        <f t="shared" si="31"/>
        <v>2014.44</v>
      </c>
      <c r="AW249" s="170">
        <f t="shared" si="31"/>
        <v>2004.1399999999999</v>
      </c>
      <c r="AX249" s="170">
        <f t="shared" si="31"/>
        <v>1892.3400000000001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2">C234</f>
        <v>0.64</v>
      </c>
      <c r="C270" s="173">
        <f t="shared" si="32"/>
        <v>0.64</v>
      </c>
      <c r="D270" s="173">
        <f t="shared" si="32"/>
        <v>0.64</v>
      </c>
      <c r="E270" s="173">
        <f t="shared" si="32"/>
        <v>0.64</v>
      </c>
      <c r="F270" s="173">
        <f t="shared" si="32"/>
        <v>0.64</v>
      </c>
      <c r="G270" s="173">
        <f t="shared" si="32"/>
        <v>0.64</v>
      </c>
      <c r="H270" s="173">
        <f t="shared" si="32"/>
        <v>0.64</v>
      </c>
      <c r="I270" s="173">
        <f t="shared" si="32"/>
        <v>0.64</v>
      </c>
      <c r="J270" s="173">
        <f t="shared" si="32"/>
        <v>0.64</v>
      </c>
      <c r="K270" s="173">
        <f t="shared" si="32"/>
        <v>0.64</v>
      </c>
      <c r="L270" s="173">
        <f t="shared" si="32"/>
        <v>0.64</v>
      </c>
      <c r="M270" s="173">
        <f t="shared" si="32"/>
        <v>0.64</v>
      </c>
      <c r="N270" s="173">
        <f t="shared" si="32"/>
        <v>0.64</v>
      </c>
      <c r="O270" s="173">
        <f t="shared" si="32"/>
        <v>0.64</v>
      </c>
      <c r="P270" s="173">
        <f t="shared" si="32"/>
        <v>0</v>
      </c>
      <c r="Q270" s="173">
        <f t="shared" si="32"/>
        <v>0</v>
      </c>
      <c r="R270" s="173">
        <f t="shared" si="32"/>
        <v>0</v>
      </c>
      <c r="S270" s="173">
        <f t="shared" si="32"/>
        <v>0</v>
      </c>
      <c r="T270" s="173">
        <f t="shared" si="32"/>
        <v>0</v>
      </c>
      <c r="U270" s="173">
        <f t="shared" si="32"/>
        <v>0</v>
      </c>
      <c r="V270" s="173">
        <f t="shared" si="32"/>
        <v>0</v>
      </c>
      <c r="W270" s="173">
        <f t="shared" si="32"/>
        <v>0</v>
      </c>
      <c r="X270" s="173">
        <f t="shared" si="32"/>
        <v>0</v>
      </c>
      <c r="Y270" s="173">
        <f t="shared" si="32"/>
        <v>0</v>
      </c>
      <c r="Z270" s="173">
        <f t="shared" si="32"/>
        <v>0</v>
      </c>
      <c r="AA270" s="173">
        <f t="shared" si="32"/>
        <v>0</v>
      </c>
      <c r="AB270" s="173">
        <f t="shared" si="32"/>
        <v>0</v>
      </c>
      <c r="AC270" s="173">
        <f t="shared" si="32"/>
        <v>0</v>
      </c>
      <c r="AD270" s="173">
        <f t="shared" si="32"/>
        <v>0</v>
      </c>
      <c r="AE270" s="173">
        <f t="shared" si="3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3">IF(B238&lt;100,"",B238-520)</f>
        <v/>
      </c>
      <c r="C271" s="174" t="str">
        <f t="shared" si="33"/>
        <v/>
      </c>
      <c r="D271" s="174" t="str">
        <f t="shared" si="33"/>
        <v/>
      </c>
      <c r="E271" s="174" t="str">
        <f t="shared" si="33"/>
        <v/>
      </c>
      <c r="F271" s="174" t="str">
        <f t="shared" si="33"/>
        <v/>
      </c>
      <c r="G271" s="174" t="str">
        <f t="shared" si="33"/>
        <v/>
      </c>
      <c r="H271" s="174" t="str">
        <f t="shared" si="33"/>
        <v/>
      </c>
      <c r="I271" s="174" t="str">
        <f t="shared" si="33"/>
        <v/>
      </c>
      <c r="J271" s="174" t="str">
        <f t="shared" si="33"/>
        <v/>
      </c>
      <c r="K271" s="174" t="str">
        <f t="shared" si="33"/>
        <v/>
      </c>
      <c r="L271" s="174" t="str">
        <f t="shared" si="33"/>
        <v/>
      </c>
      <c r="M271" s="174" t="str">
        <f t="shared" si="33"/>
        <v/>
      </c>
      <c r="N271" s="174" t="str">
        <f t="shared" si="33"/>
        <v/>
      </c>
      <c r="O271" s="174" t="str">
        <f t="shared" si="33"/>
        <v/>
      </c>
      <c r="P271" s="174" t="str">
        <f t="shared" si="33"/>
        <v/>
      </c>
      <c r="Q271" s="174" t="str">
        <f t="shared" si="33"/>
        <v/>
      </c>
      <c r="R271" s="174" t="str">
        <f t="shared" si="33"/>
        <v/>
      </c>
      <c r="S271" s="174" t="str">
        <f t="shared" si="33"/>
        <v/>
      </c>
      <c r="T271" s="174" t="str">
        <f t="shared" si="33"/>
        <v/>
      </c>
      <c r="U271" s="174" t="str">
        <f t="shared" si="33"/>
        <v/>
      </c>
      <c r="V271" s="174" t="str">
        <f t="shared" si="33"/>
        <v/>
      </c>
      <c r="W271" s="174" t="str">
        <f t="shared" si="33"/>
        <v/>
      </c>
      <c r="X271" s="174" t="str">
        <f t="shared" si="33"/>
        <v/>
      </c>
      <c r="Y271" s="174" t="str">
        <f t="shared" si="33"/>
        <v/>
      </c>
      <c r="Z271" s="174" t="str">
        <f t="shared" si="33"/>
        <v/>
      </c>
      <c r="AA271" s="174" t="str">
        <f t="shared" si="33"/>
        <v/>
      </c>
      <c r="AB271" s="174" t="str">
        <f t="shared" si="33"/>
        <v/>
      </c>
      <c r="AC271" s="174" t="str">
        <f t="shared" si="33"/>
        <v/>
      </c>
      <c r="AD271" s="174" t="str">
        <f t="shared" si="33"/>
        <v/>
      </c>
      <c r="AE271" s="174" t="str">
        <f t="shared" si="33"/>
        <v/>
      </c>
      <c r="AF271" s="174" t="str">
        <f t="shared" si="3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4">IF(B239&lt;100,"",B239-620)</f>
        <v/>
      </c>
      <c r="C272" s="174" t="str">
        <f t="shared" si="34"/>
        <v/>
      </c>
      <c r="D272" s="174" t="str">
        <f t="shared" si="34"/>
        <v/>
      </c>
      <c r="E272" s="174" t="str">
        <f t="shared" si="34"/>
        <v/>
      </c>
      <c r="F272" s="174" t="str">
        <f t="shared" si="34"/>
        <v/>
      </c>
      <c r="G272" s="174" t="str">
        <f t="shared" si="34"/>
        <v/>
      </c>
      <c r="H272" s="174" t="str">
        <f t="shared" si="34"/>
        <v/>
      </c>
      <c r="I272" s="174" t="str">
        <f t="shared" si="34"/>
        <v/>
      </c>
      <c r="J272" s="174" t="str">
        <f t="shared" si="34"/>
        <v/>
      </c>
      <c r="K272" s="174" t="str">
        <f t="shared" si="34"/>
        <v/>
      </c>
      <c r="L272" s="174" t="str">
        <f t="shared" si="34"/>
        <v/>
      </c>
      <c r="M272" s="174" t="str">
        <f t="shared" si="34"/>
        <v/>
      </c>
      <c r="N272" s="174" t="str">
        <f t="shared" si="34"/>
        <v/>
      </c>
      <c r="O272" s="174" t="str">
        <f t="shared" si="34"/>
        <v/>
      </c>
      <c r="P272" s="174" t="str">
        <f t="shared" si="34"/>
        <v/>
      </c>
      <c r="Q272" s="174" t="str">
        <f t="shared" si="34"/>
        <v/>
      </c>
      <c r="R272" s="174" t="str">
        <f t="shared" si="34"/>
        <v/>
      </c>
      <c r="S272" s="174" t="str">
        <f t="shared" si="34"/>
        <v/>
      </c>
      <c r="T272" s="174" t="str">
        <f t="shared" si="34"/>
        <v/>
      </c>
      <c r="U272" s="174" t="str">
        <f t="shared" si="34"/>
        <v/>
      </c>
      <c r="V272" s="174" t="str">
        <f t="shared" si="34"/>
        <v/>
      </c>
      <c r="W272" s="174" t="str">
        <f t="shared" si="34"/>
        <v/>
      </c>
      <c r="X272" s="174" t="str">
        <f t="shared" si="34"/>
        <v/>
      </c>
      <c r="Y272" s="174" t="str">
        <f t="shared" si="34"/>
        <v/>
      </c>
      <c r="Z272" s="174" t="str">
        <f t="shared" si="34"/>
        <v/>
      </c>
      <c r="AA272" s="174" t="str">
        <f t="shared" si="34"/>
        <v/>
      </c>
      <c r="AB272" s="174" t="str">
        <f t="shared" si="34"/>
        <v/>
      </c>
      <c r="AC272" s="174" t="str">
        <f t="shared" si="34"/>
        <v/>
      </c>
      <c r="AD272" s="174" t="str">
        <f t="shared" si="34"/>
        <v/>
      </c>
      <c r="AE272" s="174" t="str">
        <f t="shared" si="34"/>
        <v/>
      </c>
      <c r="AF272" s="174" t="str">
        <f t="shared" si="3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5">IF(B240&lt;100,"",B240-330)</f>
        <v/>
      </c>
      <c r="C273" s="174" t="str">
        <f t="shared" si="35"/>
        <v/>
      </c>
      <c r="D273" s="174" t="str">
        <f t="shared" si="35"/>
        <v/>
      </c>
      <c r="E273" s="174" t="str">
        <f t="shared" si="35"/>
        <v/>
      </c>
      <c r="F273" s="174" t="str">
        <f t="shared" si="35"/>
        <v/>
      </c>
      <c r="G273" s="174" t="str">
        <f t="shared" si="35"/>
        <v/>
      </c>
      <c r="H273" s="174" t="str">
        <f t="shared" si="35"/>
        <v/>
      </c>
      <c r="I273" s="174" t="str">
        <f t="shared" si="35"/>
        <v/>
      </c>
      <c r="J273" s="174" t="str">
        <f t="shared" si="35"/>
        <v/>
      </c>
      <c r="K273" s="174" t="str">
        <f t="shared" si="35"/>
        <v/>
      </c>
      <c r="L273" s="174" t="str">
        <f t="shared" si="35"/>
        <v/>
      </c>
      <c r="M273" s="174" t="str">
        <f t="shared" si="35"/>
        <v/>
      </c>
      <c r="N273" s="174" t="str">
        <f t="shared" si="35"/>
        <v/>
      </c>
      <c r="O273" s="174" t="str">
        <f t="shared" si="35"/>
        <v/>
      </c>
      <c r="P273" s="174" t="str">
        <f t="shared" si="35"/>
        <v/>
      </c>
      <c r="Q273" s="174" t="str">
        <f t="shared" si="35"/>
        <v/>
      </c>
      <c r="R273" s="174" t="str">
        <f t="shared" si="35"/>
        <v/>
      </c>
      <c r="S273" s="174" t="str">
        <f t="shared" si="35"/>
        <v/>
      </c>
      <c r="T273" s="174" t="str">
        <f t="shared" si="35"/>
        <v/>
      </c>
      <c r="U273" s="174" t="str">
        <f t="shared" si="35"/>
        <v/>
      </c>
      <c r="V273" s="174" t="str">
        <f t="shared" si="35"/>
        <v/>
      </c>
      <c r="W273" s="174" t="str">
        <f t="shared" si="35"/>
        <v/>
      </c>
      <c r="X273" s="174" t="str">
        <f t="shared" si="35"/>
        <v/>
      </c>
      <c r="Y273" s="174" t="str">
        <f t="shared" si="35"/>
        <v/>
      </c>
      <c r="Z273" s="174" t="str">
        <f t="shared" si="35"/>
        <v/>
      </c>
      <c r="AA273" s="174" t="str">
        <f t="shared" si="35"/>
        <v/>
      </c>
      <c r="AB273" s="174" t="str">
        <f t="shared" si="35"/>
        <v/>
      </c>
      <c r="AC273" s="174" t="str">
        <f t="shared" si="35"/>
        <v/>
      </c>
      <c r="AD273" s="174" t="str">
        <f t="shared" si="35"/>
        <v/>
      </c>
      <c r="AE273" s="174" t="str">
        <f t="shared" si="35"/>
        <v/>
      </c>
      <c r="AF273" s="174" t="str">
        <f t="shared" si="3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6">IF(B241&lt;100,"",B241-1500)</f>
        <v/>
      </c>
      <c r="C274" s="174" t="str">
        <f t="shared" si="36"/>
        <v/>
      </c>
      <c r="D274" s="174" t="str">
        <f t="shared" si="36"/>
        <v/>
      </c>
      <c r="E274" s="174" t="str">
        <f t="shared" si="36"/>
        <v/>
      </c>
      <c r="F274" s="174" t="str">
        <f t="shared" si="36"/>
        <v/>
      </c>
      <c r="G274" s="174" t="str">
        <f t="shared" si="36"/>
        <v/>
      </c>
      <c r="H274" s="174" t="str">
        <f t="shared" si="36"/>
        <v/>
      </c>
      <c r="I274" s="174" t="str">
        <f t="shared" si="36"/>
        <v/>
      </c>
      <c r="J274" s="174" t="str">
        <f t="shared" si="36"/>
        <v/>
      </c>
      <c r="K274" s="174" t="str">
        <f t="shared" si="36"/>
        <v/>
      </c>
      <c r="L274" s="174" t="str">
        <f t="shared" si="36"/>
        <v/>
      </c>
      <c r="M274" s="174" t="str">
        <f t="shared" si="36"/>
        <v/>
      </c>
      <c r="N274" s="174" t="str">
        <f t="shared" si="36"/>
        <v/>
      </c>
      <c r="O274" s="174" t="str">
        <f t="shared" si="36"/>
        <v/>
      </c>
      <c r="P274" s="174" t="str">
        <f t="shared" si="36"/>
        <v/>
      </c>
      <c r="Q274" s="174" t="str">
        <f t="shared" si="36"/>
        <v/>
      </c>
      <c r="R274" s="174" t="str">
        <f t="shared" si="36"/>
        <v/>
      </c>
      <c r="S274" s="174" t="str">
        <f t="shared" si="36"/>
        <v/>
      </c>
      <c r="T274" s="174" t="str">
        <f t="shared" si="36"/>
        <v/>
      </c>
      <c r="U274" s="174" t="str">
        <f t="shared" si="36"/>
        <v/>
      </c>
      <c r="V274" s="174" t="str">
        <f t="shared" si="36"/>
        <v/>
      </c>
      <c r="W274" s="174" t="str">
        <f t="shared" si="36"/>
        <v/>
      </c>
      <c r="X274" s="174" t="str">
        <f t="shared" si="36"/>
        <v/>
      </c>
      <c r="Y274" s="174" t="str">
        <f t="shared" si="36"/>
        <v/>
      </c>
      <c r="Z274" s="174" t="str">
        <f t="shared" si="36"/>
        <v/>
      </c>
      <c r="AA274" s="174" t="str">
        <f t="shared" si="36"/>
        <v/>
      </c>
      <c r="AB274" s="174" t="str">
        <f t="shared" si="36"/>
        <v/>
      </c>
      <c r="AC274" s="174" t="str">
        <f t="shared" si="36"/>
        <v/>
      </c>
      <c r="AD274" s="174" t="str">
        <f t="shared" si="36"/>
        <v/>
      </c>
      <c r="AE274" s="174" t="str">
        <f t="shared" si="36"/>
        <v/>
      </c>
      <c r="AF274" s="174" t="str">
        <f t="shared" si="3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534" priority="92">
      <formula>$AH11=0</formula>
    </cfRule>
  </conditionalFormatting>
  <conditionalFormatting sqref="B8 M8 S8 AB8">
    <cfRule type="expression" dxfId="3533" priority="143">
      <formula>AND(C$9&gt;=14/24,C$9&lt;20/24)</formula>
    </cfRule>
    <cfRule type="expression" dxfId="3532" priority="144">
      <formula>AND(C$9&gt;=8/24,C$9&lt;14/24)</formula>
    </cfRule>
    <cfRule type="expression" dxfId="3531" priority="145">
      <formula>C$9&lt;8/24</formula>
    </cfRule>
  </conditionalFormatting>
  <conditionalFormatting sqref="B55:D66">
    <cfRule type="expression" dxfId="3530" priority="6">
      <formula>B$9&gt;=20/24</formula>
    </cfRule>
    <cfRule type="expression" dxfId="3529" priority="7">
      <formula>AND(B$9&gt;=14/24,B$9&lt;20/24)</formula>
    </cfRule>
    <cfRule type="expression" dxfId="3528" priority="8">
      <formula>AND(B$9&gt;=8/24,B$9&lt;14/24)</formula>
    </cfRule>
    <cfRule type="expression" dxfId="3527" priority="9">
      <formula>B$9&lt;8/24</formula>
    </cfRule>
  </conditionalFormatting>
  <conditionalFormatting sqref="B9:AF45">
    <cfRule type="expression" dxfId="3526" priority="20">
      <formula>AND(B$9&gt;=14/24,B$9&lt;20/24)</formula>
    </cfRule>
    <cfRule type="expression" dxfId="3525" priority="19">
      <formula>B$9&gt;=20/24</formula>
    </cfRule>
    <cfRule type="expression" dxfId="3524" priority="21">
      <formula>AND(B$9&gt;=8/24,B$9&lt;14/24)</formula>
    </cfRule>
    <cfRule type="expression" dxfId="3523" priority="22">
      <formula>B$9&lt;8/24</formula>
    </cfRule>
  </conditionalFormatting>
  <conditionalFormatting sqref="B11:AF46">
    <cfRule type="expression" dxfId="3522" priority="18">
      <formula>B11&gt;$AG11</formula>
    </cfRule>
  </conditionalFormatting>
  <conditionalFormatting sqref="B46:AF46">
    <cfRule type="expression" dxfId="3521" priority="14">
      <formula>B$9&gt;=20/24</formula>
    </cfRule>
    <cfRule type="expression" dxfId="3520" priority="15">
      <formula>AND(B$9&gt;=14/24,B$9&lt;20/24)</formula>
    </cfRule>
    <cfRule type="expression" dxfId="3519" priority="16">
      <formula>AND(B$9&gt;=8/24,B$9&lt;14/24)</formula>
    </cfRule>
    <cfRule type="expression" dxfId="3518" priority="17">
      <formula>B$9&lt;8/24</formula>
    </cfRule>
  </conditionalFormatting>
  <conditionalFormatting sqref="B47:AF47">
    <cfRule type="expression" dxfId="3517" priority="28">
      <formula>B47&gt;$AG47</formula>
    </cfRule>
  </conditionalFormatting>
  <conditionalFormatting sqref="B47:AF49">
    <cfRule type="expression" dxfId="3516" priority="27">
      <formula>B$9&lt;8/24</formula>
    </cfRule>
    <cfRule type="expression" dxfId="3515" priority="24">
      <formula>B$9&gt;=20/24</formula>
    </cfRule>
    <cfRule type="expression" dxfId="3514" priority="25">
      <formula>AND(B$9&gt;=14/24,B$9&lt;20/24)</formula>
    </cfRule>
    <cfRule type="expression" dxfId="3513" priority="26">
      <formula>AND(B$9&gt;=8/24,B$9&lt;14/24)</formula>
    </cfRule>
  </conditionalFormatting>
  <conditionalFormatting sqref="B48:AF53">
    <cfRule type="expression" dxfId="3512" priority="23">
      <formula>B48&gt;$AG48</formula>
    </cfRule>
  </conditionalFormatting>
  <conditionalFormatting sqref="B51:AF53">
    <cfRule type="expression" dxfId="3511" priority="78">
      <formula>B$9&lt;8/24</formula>
    </cfRule>
    <cfRule type="expression" dxfId="3510" priority="77">
      <formula>AND(B$9&gt;=8/24,B$9&lt;14/24)</formula>
    </cfRule>
    <cfRule type="expression" dxfId="3509" priority="76">
      <formula>AND(B$9&gt;=14/24,B$9&lt;20/24)</formula>
    </cfRule>
    <cfRule type="expression" dxfId="3508" priority="75">
      <formula>B$9&gt;=20/24</formula>
    </cfRule>
  </conditionalFormatting>
  <conditionalFormatting sqref="B55:AF66">
    <cfRule type="expression" dxfId="3507" priority="1">
      <formula>B55&gt;$AG55</formula>
    </cfRule>
  </conditionalFormatting>
  <conditionalFormatting sqref="B61:AF66">
    <cfRule type="expression" dxfId="3506" priority="2">
      <formula>B$9&gt;=20/24</formula>
    </cfRule>
    <cfRule type="expression" dxfId="3505" priority="5">
      <formula>B$9&lt;8/24</formula>
    </cfRule>
    <cfRule type="expression" dxfId="3504" priority="4">
      <formula>AND(B$9&gt;=8/24,B$9&lt;14/24)</formula>
    </cfRule>
    <cfRule type="expression" dxfId="3503" priority="3">
      <formula>AND(B$9&gt;=14/24,B$9&lt;20/24)</formula>
    </cfRule>
  </conditionalFormatting>
  <conditionalFormatting sqref="B69:AF71">
    <cfRule type="expression" dxfId="3502" priority="85">
      <formula>AND(B$9&gt;=14/24,B$9&lt;20/24)</formula>
    </cfRule>
    <cfRule type="expression" dxfId="3501" priority="87">
      <formula>B$9&lt;8/24</formula>
    </cfRule>
    <cfRule type="expression" dxfId="3500" priority="86">
      <formula>AND(B$9&gt;=8/24,B$9&lt;14/24)</formula>
    </cfRule>
    <cfRule type="expression" dxfId="3499" priority="84">
      <formula>B$9&gt;=20/24</formula>
    </cfRule>
    <cfRule type="expression" dxfId="3498" priority="83">
      <formula>B69&gt;$AG69</formula>
    </cfRule>
  </conditionalFormatting>
  <conditionalFormatting sqref="B73:AF91">
    <cfRule type="expression" dxfId="3497" priority="29">
      <formula>B$9&gt;=20/24</formula>
    </cfRule>
    <cfRule type="expression" dxfId="3496" priority="30">
      <formula>AND(B$9&gt;=14/24,B$9&lt;20/24)</formula>
    </cfRule>
    <cfRule type="expression" dxfId="3495" priority="31">
      <formula>AND(B$9&gt;=8/24,B$9&lt;14/24)</formula>
    </cfRule>
    <cfRule type="expression" dxfId="3494" priority="32">
      <formula>B$9&lt;8/24</formula>
    </cfRule>
  </conditionalFormatting>
  <conditionalFormatting sqref="B111:AF120 V121">
    <cfRule type="expression" dxfId="3493" priority="44">
      <formula>AND(B$9&gt;=8/24,B$9&lt;14/24)</formula>
    </cfRule>
    <cfRule type="expression" dxfId="3492" priority="42">
      <formula>B$9&gt;=20/24</formula>
    </cfRule>
    <cfRule type="expression" dxfId="3491" priority="43">
      <formula>AND(B$9&gt;=14/24,B$9&lt;20/24)</formula>
    </cfRule>
    <cfRule type="expression" dxfId="3490" priority="45">
      <formula>B$9&lt;8/24</formula>
    </cfRule>
  </conditionalFormatting>
  <conditionalFormatting sqref="B227:AF227 D229:AF230 B229:B235 D231:H231 J231:AF231 D232:AF235 U248:AF248">
    <cfRule type="expression" dxfId="3489" priority="138">
      <formula>AND(B$9&gt;=8/24,B$9&lt;14/24)</formula>
    </cfRule>
    <cfRule type="expression" dxfId="3488" priority="139">
      <formula>B$9&lt;8/24</formula>
    </cfRule>
    <cfRule type="expression" dxfId="3487" priority="137">
      <formula>AND(B$9&gt;=14/24,B$9&lt;20/24)</formula>
    </cfRule>
    <cfRule type="expression" dxfId="3486" priority="136">
      <formula>B$9&gt;=20/24</formula>
    </cfRule>
  </conditionalFormatting>
  <conditionalFormatting sqref="B54:AG54">
    <cfRule type="expression" dxfId="3485" priority="68">
      <formula>AND(B$9&gt;=8/24,B$9&lt;14/24)</formula>
    </cfRule>
    <cfRule type="expression" dxfId="3484" priority="69">
      <formula>B$9&lt;8/24</formula>
    </cfRule>
    <cfRule type="expression" dxfId="3483" priority="67">
      <formula>AND(B$9&gt;=14/24,B$9&lt;20/24)</formula>
    </cfRule>
    <cfRule type="expression" dxfId="3482" priority="66">
      <formula>B$9&gt;=20/24</formula>
    </cfRule>
    <cfRule type="expression" dxfId="3481" priority="61">
      <formula>B54&gt;$AG54</formula>
    </cfRule>
  </conditionalFormatting>
  <conditionalFormatting sqref="B67:AG68 B72:AG72">
    <cfRule type="expression" dxfId="3480" priority="70">
      <formula>B67&gt;$AG67</formula>
    </cfRule>
  </conditionalFormatting>
  <conditionalFormatting sqref="B72:AG72 B93:AF109">
    <cfRule type="expression" dxfId="3479" priority="73">
      <formula>AND(B$9&gt;=8/24,B$9&lt;14/24)</formula>
    </cfRule>
    <cfRule type="expression" dxfId="3478" priority="72">
      <formula>AND(B$9&gt;=14/24,B$9&lt;20/24)</formula>
    </cfRule>
    <cfRule type="expression" dxfId="3477" priority="71">
      <formula>B$9&gt;=20/24</formula>
    </cfRule>
    <cfRule type="expression" dxfId="3476" priority="74">
      <formula>B$9&lt;8/24</formula>
    </cfRule>
  </conditionalFormatting>
  <conditionalFormatting sqref="E55:L57">
    <cfRule type="expression" dxfId="3475" priority="119">
      <formula>AND(E$9&gt;=8/24,E$9&lt;14/24)</formula>
    </cfRule>
    <cfRule type="expression" dxfId="3474" priority="120">
      <formula>E$9&lt;8/24</formula>
    </cfRule>
    <cfRule type="expression" dxfId="3473" priority="117">
      <formula>E$9&gt;=20/24</formula>
    </cfRule>
    <cfRule type="expression" dxfId="3472" priority="118">
      <formula>AND(E$9&gt;=14/24,E$9&lt;20/24)</formula>
    </cfRule>
  </conditionalFormatting>
  <conditionalFormatting sqref="E60:Z60">
    <cfRule type="expression" dxfId="3471" priority="80">
      <formula>AND(E$9&gt;=14/24,E$9&lt;20/24)</formula>
    </cfRule>
    <cfRule type="expression" dxfId="3470" priority="81">
      <formula>AND(E$9&gt;=8/24,E$9&lt;14/24)</formula>
    </cfRule>
    <cfRule type="expression" dxfId="3469" priority="82">
      <formula>E$9&lt;8/24</formula>
    </cfRule>
    <cfRule type="expression" dxfId="3468" priority="79">
      <formula>E$9&gt;=20/24</formula>
    </cfRule>
  </conditionalFormatting>
  <conditionalFormatting sqref="M55:Z59">
    <cfRule type="expression" dxfId="3467" priority="123">
      <formula>AND(M$9&gt;=8/24,M$9&lt;14/24)</formula>
    </cfRule>
    <cfRule type="expression" dxfId="3466" priority="122">
      <formula>AND(M$9&gt;=14/24,M$9&lt;20/24)</formula>
    </cfRule>
    <cfRule type="expression" dxfId="3465" priority="124">
      <formula>M$9&lt;8/24</formula>
    </cfRule>
    <cfRule type="expression" dxfId="3464" priority="121">
      <formula>M$9&gt;=20/24</formula>
    </cfRule>
  </conditionalFormatting>
  <conditionalFormatting sqref="O3:P3">
    <cfRule type="iconSet" priority="140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463" priority="142">
      <formula>C$9&gt;=20/24</formula>
    </cfRule>
  </conditionalFormatting>
  <conditionalFormatting sqref="S8">
    <cfRule type="expression" dxfId="3462" priority="129">
      <formula>U$9&gt;=20/24</formula>
    </cfRule>
    <cfRule type="expression" dxfId="3461" priority="130">
      <formula>AND(U$9&gt;=14/24,U$9&lt;20/24)</formula>
    </cfRule>
    <cfRule type="expression" dxfId="3460" priority="131">
      <formula>AND(U$9&gt;=8/24,U$9&lt;14/24)</formula>
    </cfRule>
    <cfRule type="expression" dxfId="3459" priority="132">
      <formula>U$9&lt;8/24</formula>
    </cfRule>
  </conditionalFormatting>
  <conditionalFormatting sqref="T248">
    <cfRule type="expression" dxfId="3458" priority="157">
      <formula>AX$9&lt;8/24</formula>
    </cfRule>
    <cfRule type="expression" dxfId="3457" priority="154">
      <formula>AX$9&gt;=20/24</formula>
    </cfRule>
    <cfRule type="expression" dxfId="3456" priority="155">
      <formula>AND(AX$9&gt;=14/24,AX$9&lt;20/24)</formula>
    </cfRule>
    <cfRule type="expression" dxfId="3455" priority="156">
      <formula>AND(AX$9&gt;=8/24,AX$9&lt;14/24)</formula>
    </cfRule>
  </conditionalFormatting>
  <conditionalFormatting sqref="V3 AB3">
    <cfRule type="iconSet" priority="141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3454" priority="38">
      <formula>AA$9&gt;=20/24</formula>
    </cfRule>
    <cfRule type="expression" dxfId="3453" priority="41">
      <formula>AA$9&lt;8/24</formula>
    </cfRule>
    <cfRule type="expression" dxfId="3452" priority="39">
      <formula>AND(AA$9&gt;=14/24,AA$9&lt;20/24)</formula>
    </cfRule>
    <cfRule type="expression" dxfId="3451" priority="40">
      <formula>AND(AA$9&gt;=8/24,AA$9&lt;14/24)</formula>
    </cfRule>
  </conditionalFormatting>
  <conditionalFormatting sqref="AB8">
    <cfRule type="expression" dxfId="3450" priority="125">
      <formula>AD$9&gt;=20/24</formula>
    </cfRule>
    <cfRule type="expression" dxfId="3449" priority="126">
      <formula>AND(AD$9&gt;=14/24,AD$9&lt;20/24)</formula>
    </cfRule>
    <cfRule type="expression" dxfId="3448" priority="127">
      <formula>AND(AD$9&gt;=8/24,AD$9&lt;14/24)</formula>
    </cfRule>
    <cfRule type="expression" dxfId="3447" priority="128">
      <formula>AD$9&lt;8/24</formula>
    </cfRule>
  </conditionalFormatting>
  <conditionalFormatting sqref="AG50">
    <cfRule type="expression" dxfId="3446" priority="112">
      <formula>AG50&gt;$AG50</formula>
    </cfRule>
  </conditionalFormatting>
  <conditionalFormatting sqref="AG89">
    <cfRule type="expression" dxfId="3445" priority="113">
      <formula>AG$9&gt;=20/24</formula>
    </cfRule>
    <cfRule type="expression" dxfId="3444" priority="114">
      <formula>AND(AG$9&gt;=14/24,AG$9&lt;20/24)</formula>
    </cfRule>
    <cfRule type="expression" dxfId="3443" priority="116">
      <formula>AG$9&lt;8/24</formula>
    </cfRule>
    <cfRule type="expression" dxfId="3442" priority="115">
      <formula>AND(AG$9&gt;=8/24,AG$9&lt;14/24)</formula>
    </cfRule>
  </conditionalFormatting>
  <conditionalFormatting sqref="AG248">
    <cfRule type="expression" dxfId="3441" priority="146">
      <formula>B$9&gt;=20/24</formula>
    </cfRule>
    <cfRule type="expression" dxfId="3440" priority="147">
      <formula>AND(B$9&gt;=14/24,B$9&lt;20/24)</formula>
    </cfRule>
    <cfRule type="expression" dxfId="3439" priority="148">
      <formula>AND(B$9&gt;=8/24,B$9&lt;14/24)</formula>
    </cfRule>
    <cfRule type="expression" dxfId="3438" priority="149">
      <formula>B$9&lt;8/24</formula>
    </cfRule>
  </conditionalFormatting>
  <conditionalFormatting sqref="AH248:AX248">
    <cfRule type="expression" dxfId="3437" priority="150">
      <formula>AG$9&gt;=20/24</formula>
    </cfRule>
    <cfRule type="expression" dxfId="3436" priority="151">
      <formula>AND(AG$9&gt;=14/24,AG$9&lt;20/24)</formula>
    </cfRule>
    <cfRule type="expression" dxfId="3435" priority="152">
      <formula>AND(AG$9&gt;=8/24,AG$9&lt;14/24)</formula>
    </cfRule>
    <cfRule type="expression" dxfId="3434" priority="153">
      <formula>AG$9&lt;8/24</formula>
    </cfRule>
  </conditionalFormatting>
  <conditionalFormatting sqref="AL4:AL6">
    <cfRule type="iconSet" priority="135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95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10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94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09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11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93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58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433" priority="159">
      <formula>AJ$9&gt;=20/24</formula>
    </cfRule>
    <cfRule type="expression" dxfId="3432" priority="160">
      <formula>AND(AJ$9&gt;=14/24,AJ$9&lt;20/24)</formula>
    </cfRule>
    <cfRule type="expression" dxfId="3431" priority="161">
      <formula>AND(AJ$9&gt;=8/24,AJ$9&lt;14/24)</formula>
    </cfRule>
    <cfRule type="expression" dxfId="3430" priority="162">
      <formula>AJ$9&lt;8/24</formula>
    </cfRule>
  </conditionalFormatting>
  <conditionalFormatting sqref="AL80:AN80 AL86:AN86">
    <cfRule type="expression" dxfId="3429" priority="100">
      <formula>AL$9&gt;=20/24</formula>
    </cfRule>
    <cfRule type="expression" dxfId="3428" priority="101">
      <formula>AND(AL$9&gt;=14/24,AL$9&lt;20/24)</formula>
    </cfRule>
    <cfRule type="expression" dxfId="3427" priority="102">
      <formula>AND(AL$9&gt;=8/24,AL$9&lt;14/24)</formula>
    </cfRule>
    <cfRule type="expression" dxfId="3426" priority="103">
      <formula>AL$9&lt;8/24</formula>
    </cfRule>
  </conditionalFormatting>
  <conditionalFormatting sqref="AN81:AN84">
    <cfRule type="expression" dxfId="3425" priority="96">
      <formula>AN$9&gt;=20/24</formula>
    </cfRule>
    <cfRule type="expression" dxfId="3424" priority="97">
      <formula>AND(AN$9&gt;=14/24,AN$9&lt;20/24)</formula>
    </cfRule>
    <cfRule type="expression" dxfId="3423" priority="98">
      <formula>AND(AN$9&gt;=8/24,AN$9&lt;14/24)</formula>
    </cfRule>
    <cfRule type="expression" dxfId="3422" priority="99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69702-3849-42EB-AB30-D007E3C8A8DE}">
  <sheetPr codeName="Sheet6"/>
  <dimension ref="A1:CJ281"/>
  <sheetViews>
    <sheetView zoomScale="96" zoomScaleNormal="96" workbookViewId="0">
      <pane xSplit="1" ySplit="10" topLeftCell="B4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Y2" sqref="Y2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4" width="6.28515625" style="1" bestFit="1" customWidth="1"/>
    <col min="15" max="15" width="6.42578125" style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2080/05/5</v>
      </c>
      <c r="C4" s="196"/>
      <c r="D4" s="196"/>
      <c r="E4" s="197" t="str">
        <f ca="1">"2080/"&amp;"05/"&amp;INT(MID(CELL("filename",G6),FIND("]",CELL("filename",G6))+1,200))</f>
        <v>2080/05/5</v>
      </c>
      <c r="F4" s="197"/>
      <c r="G4" s="197"/>
      <c r="H4" s="197" t="str">
        <f ca="1">TEXT(E4,"dddd")</f>
        <v>Sunday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6.3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1973MW at 7:00hr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Load=1835</v>
      </c>
      <c r="B7" s="35">
        <f t="shared" ref="B7:AF7" si="1">B91</f>
        <v>1872.8400000000001</v>
      </c>
      <c r="C7" s="35">
        <f t="shared" si="1"/>
        <v>1869.3400000000001</v>
      </c>
      <c r="D7" s="35">
        <f t="shared" si="1"/>
        <v>1835.3400000000001</v>
      </c>
      <c r="E7" s="35">
        <f t="shared" si="1"/>
        <v>1835.3400000000001</v>
      </c>
      <c r="F7" s="35">
        <f t="shared" si="1"/>
        <v>1835.3400000000001</v>
      </c>
      <c r="G7" s="35">
        <f t="shared" si="1"/>
        <v>1901.14</v>
      </c>
      <c r="H7" s="35">
        <f t="shared" si="1"/>
        <v>1895.8400000000001</v>
      </c>
      <c r="I7" s="35">
        <f t="shared" si="1"/>
        <v>1911.8400000000001</v>
      </c>
      <c r="J7" s="35">
        <f t="shared" si="1"/>
        <v>1923.8400000000001</v>
      </c>
      <c r="K7" s="35">
        <f t="shared" si="1"/>
        <v>1972.8400000000001</v>
      </c>
      <c r="L7" s="35">
        <f t="shared" si="1"/>
        <v>1928.3000000000002</v>
      </c>
      <c r="M7" s="35">
        <f t="shared" si="1"/>
        <v>1912.74</v>
      </c>
      <c r="N7" s="35">
        <f>N91</f>
        <v>1888.74</v>
      </c>
      <c r="O7" s="35">
        <f t="shared" si="1"/>
        <v>1884.6399999999999</v>
      </c>
      <c r="P7" s="35">
        <f t="shared" si="1"/>
        <v>1902.44</v>
      </c>
      <c r="Q7" s="35">
        <f t="shared" si="1"/>
        <v>1882.2400000000002</v>
      </c>
      <c r="R7" s="35">
        <f t="shared" si="1"/>
        <v>1875.3400000000001</v>
      </c>
      <c r="S7" s="35">
        <f t="shared" si="1"/>
        <v>1874.44</v>
      </c>
      <c r="T7" s="35">
        <f t="shared" si="1"/>
        <v>1883.2400000000002</v>
      </c>
      <c r="U7" s="35">
        <f t="shared" si="1"/>
        <v>1892.2400000000002</v>
      </c>
      <c r="V7" s="35">
        <f t="shared" si="1"/>
        <v>1923.94</v>
      </c>
      <c r="W7" s="35">
        <f t="shared" si="1"/>
        <v>1923.4399999999998</v>
      </c>
      <c r="X7" s="35">
        <f t="shared" si="1"/>
        <v>1925.2399999999998</v>
      </c>
      <c r="Y7" s="35">
        <f t="shared" si="1"/>
        <v>1925.2399999999998</v>
      </c>
      <c r="Z7" s="35">
        <f t="shared" si="1"/>
        <v>2033.04</v>
      </c>
      <c r="AA7" s="35">
        <f t="shared" si="1"/>
        <v>2040.04</v>
      </c>
      <c r="AB7" s="35">
        <f t="shared" si="1"/>
        <v>1993.7400000000002</v>
      </c>
      <c r="AC7" s="35">
        <f t="shared" si="1"/>
        <v>1993.7400000000002</v>
      </c>
      <c r="AD7" s="35">
        <f t="shared" si="1"/>
        <v>1993.7400000000002</v>
      </c>
      <c r="AE7" s="35">
        <f t="shared" si="1"/>
        <v>1873.74</v>
      </c>
      <c r="AF7" s="35">
        <f t="shared" si="1"/>
        <v>1863.74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90.6</v>
      </c>
      <c r="C11" s="45">
        <v>90.6</v>
      </c>
      <c r="D11" s="45">
        <v>90.6</v>
      </c>
      <c r="E11" s="45">
        <v>90.6</v>
      </c>
      <c r="F11" s="45">
        <v>90.6</v>
      </c>
      <c r="G11" s="45">
        <v>90.6</v>
      </c>
      <c r="H11" s="45">
        <v>90.6</v>
      </c>
      <c r="I11" s="45">
        <v>90.6</v>
      </c>
      <c r="J11" s="45">
        <v>90.6</v>
      </c>
      <c r="K11" s="45">
        <v>90.6</v>
      </c>
      <c r="L11" s="45">
        <v>90.06</v>
      </c>
      <c r="M11" s="45">
        <v>89.9</v>
      </c>
      <c r="N11" s="45">
        <v>89.9</v>
      </c>
      <c r="O11" s="45">
        <v>89.9</v>
      </c>
      <c r="P11" s="45">
        <v>89.9</v>
      </c>
      <c r="Q11" s="45">
        <v>89.9</v>
      </c>
      <c r="R11" s="45">
        <v>89.9</v>
      </c>
      <c r="S11" s="45">
        <v>89.9</v>
      </c>
      <c r="T11" s="45">
        <v>89.9</v>
      </c>
      <c r="U11" s="45">
        <v>89.9</v>
      </c>
      <c r="V11" s="45">
        <v>90</v>
      </c>
      <c r="W11" s="45">
        <v>90</v>
      </c>
      <c r="X11" s="45">
        <v>90</v>
      </c>
      <c r="Y11" s="45">
        <v>90</v>
      </c>
      <c r="Z11" s="45">
        <v>86.4</v>
      </c>
      <c r="AA11" s="45">
        <v>86.4</v>
      </c>
      <c r="AB11" s="45">
        <v>86</v>
      </c>
      <c r="AC11" s="45">
        <v>86</v>
      </c>
      <c r="AD11" s="45">
        <v>86</v>
      </c>
      <c r="AE11" s="45">
        <v>86</v>
      </c>
      <c r="AF11" s="45">
        <v>86</v>
      </c>
      <c r="AG11" s="46">
        <v>86</v>
      </c>
      <c r="AH11" s="47">
        <f t="shared" ref="AH11:AH76" si="2">MAX(B11:AF11)</f>
        <v>90.6</v>
      </c>
      <c r="AI11" s="48">
        <f t="shared" ref="AI11:AI76" si="3">MIN(B11:AF11)</f>
        <v>86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11</v>
      </c>
      <c r="L12" s="45">
        <v>8</v>
      </c>
      <c r="M12" s="45">
        <v>8</v>
      </c>
      <c r="N12" s="45">
        <v>8</v>
      </c>
      <c r="O12" s="45">
        <v>8</v>
      </c>
      <c r="P12" s="45">
        <v>8</v>
      </c>
      <c r="Q12" s="45">
        <v>8</v>
      </c>
      <c r="R12" s="45">
        <v>8</v>
      </c>
      <c r="S12" s="45">
        <v>8</v>
      </c>
      <c r="T12" s="45">
        <v>8</v>
      </c>
      <c r="U12" s="45">
        <v>8</v>
      </c>
      <c r="V12" s="45">
        <v>8</v>
      </c>
      <c r="W12" s="45">
        <v>8</v>
      </c>
      <c r="X12" s="45">
        <v>8</v>
      </c>
      <c r="Y12" s="45">
        <v>8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8</v>
      </c>
      <c r="AF12" s="45">
        <v>8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54.6</v>
      </c>
      <c r="C13" s="45">
        <v>54.6</v>
      </c>
      <c r="D13" s="45">
        <v>54.6</v>
      </c>
      <c r="E13" s="45">
        <v>54.6</v>
      </c>
      <c r="F13" s="45">
        <v>54.6</v>
      </c>
      <c r="G13" s="45">
        <v>54.6</v>
      </c>
      <c r="H13" s="45">
        <v>54.6</v>
      </c>
      <c r="I13" s="45">
        <v>54.6</v>
      </c>
      <c r="J13" s="45">
        <v>54.6</v>
      </c>
      <c r="K13" s="45">
        <v>54.6</v>
      </c>
      <c r="L13" s="45">
        <v>54.6</v>
      </c>
      <c r="M13" s="45">
        <v>54.6</v>
      </c>
      <c r="N13" s="45">
        <v>54.6</v>
      </c>
      <c r="O13" s="45">
        <v>54.6</v>
      </c>
      <c r="P13" s="45">
        <v>54.6</v>
      </c>
      <c r="Q13" s="45">
        <v>54.6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54.6</v>
      </c>
      <c r="X13" s="45">
        <v>54.6</v>
      </c>
      <c r="Y13" s="45">
        <v>54.6</v>
      </c>
      <c r="Z13" s="45">
        <v>54.6</v>
      </c>
      <c r="AA13" s="45">
        <v>54.6</v>
      </c>
      <c r="AB13" s="45">
        <v>54.6</v>
      </c>
      <c r="AC13" s="45">
        <v>54.6</v>
      </c>
      <c r="AD13" s="45">
        <v>54.6</v>
      </c>
      <c r="AE13" s="45">
        <v>54.6</v>
      </c>
      <c r="AF13" s="45">
        <v>54.6</v>
      </c>
      <c r="AG13" s="46">
        <v>52.4</v>
      </c>
      <c r="AH13" s="47">
        <f t="shared" si="2"/>
        <v>54.6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50.3</v>
      </c>
      <c r="N14" s="58">
        <v>50.3</v>
      </c>
      <c r="O14" s="58">
        <v>50.3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37.200000000000003</v>
      </c>
      <c r="N15" s="45">
        <v>37.200000000000003</v>
      </c>
      <c r="O15" s="45">
        <v>37.200000000000003</v>
      </c>
      <c r="P15" s="45">
        <v>37.5</v>
      </c>
      <c r="Q15" s="45">
        <v>37.5</v>
      </c>
      <c r="R15" s="45">
        <v>37.5</v>
      </c>
      <c r="S15" s="45">
        <v>37.5</v>
      </c>
      <c r="T15" s="45">
        <v>37.5</v>
      </c>
      <c r="U15" s="45">
        <v>37.5</v>
      </c>
      <c r="V15" s="45">
        <v>37.5</v>
      </c>
      <c r="W15" s="45">
        <v>37.5</v>
      </c>
      <c r="X15" s="45">
        <v>37.5</v>
      </c>
      <c r="Y15" s="45">
        <v>37.5</v>
      </c>
      <c r="Z15" s="45">
        <v>46.1</v>
      </c>
      <c r="AA15" s="45">
        <v>46.1</v>
      </c>
      <c r="AB15" s="45">
        <v>46.1</v>
      </c>
      <c r="AC15" s="45">
        <v>46.1</v>
      </c>
      <c r="AD15" s="45">
        <v>46.1</v>
      </c>
      <c r="AE15" s="45">
        <v>46.1</v>
      </c>
      <c r="AF15" s="45">
        <v>46.1</v>
      </c>
      <c r="AG15" s="49">
        <v>45</v>
      </c>
      <c r="AH15" s="47">
        <f t="shared" si="2"/>
        <v>46.1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42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42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26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20</v>
      </c>
      <c r="O17" s="45">
        <v>20</v>
      </c>
      <c r="P17" s="45">
        <v>20</v>
      </c>
      <c r="Q17" s="45">
        <v>20</v>
      </c>
      <c r="R17" s="45">
        <v>20</v>
      </c>
      <c r="S17" s="45">
        <v>20</v>
      </c>
      <c r="T17" s="45">
        <v>20</v>
      </c>
      <c r="U17" s="45">
        <v>26</v>
      </c>
      <c r="V17" s="45">
        <v>26</v>
      </c>
      <c r="W17" s="45">
        <v>26</v>
      </c>
      <c r="X17" s="45">
        <v>26</v>
      </c>
      <c r="Y17" s="45">
        <v>26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20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20</v>
      </c>
      <c r="W18" s="45">
        <v>20</v>
      </c>
      <c r="X18" s="45">
        <v>20</v>
      </c>
      <c r="Y18" s="45">
        <v>20</v>
      </c>
      <c r="Z18" s="45">
        <v>20</v>
      </c>
      <c r="AA18" s="45">
        <v>20</v>
      </c>
      <c r="AB18" s="45">
        <v>20</v>
      </c>
      <c r="AC18" s="45">
        <v>20</v>
      </c>
      <c r="AD18" s="45">
        <v>20</v>
      </c>
      <c r="AE18" s="45">
        <v>20</v>
      </c>
      <c r="AF18" s="45">
        <v>20</v>
      </c>
      <c r="AG18" s="49">
        <v>38.46</v>
      </c>
      <c r="AH18" s="47">
        <f t="shared" si="2"/>
        <v>38.5</v>
      </c>
      <c r="AI18" s="48">
        <f t="shared" si="3"/>
        <v>20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5</v>
      </c>
      <c r="K20" s="45">
        <v>16</v>
      </c>
      <c r="L20" s="45">
        <v>5</v>
      </c>
      <c r="M20" s="45">
        <v>5</v>
      </c>
      <c r="N20" s="45">
        <v>5</v>
      </c>
      <c r="O20" s="45">
        <v>5</v>
      </c>
      <c r="P20" s="45">
        <v>5</v>
      </c>
      <c r="Q20" s="45">
        <v>5</v>
      </c>
      <c r="R20" s="45">
        <v>5</v>
      </c>
      <c r="S20" s="45">
        <v>5</v>
      </c>
      <c r="T20" s="45">
        <v>5</v>
      </c>
      <c r="U20" s="45">
        <v>5</v>
      </c>
      <c r="V20" s="45">
        <v>5</v>
      </c>
      <c r="W20" s="45">
        <v>5</v>
      </c>
      <c r="X20" s="45">
        <v>5</v>
      </c>
      <c r="Y20" s="45">
        <v>5</v>
      </c>
      <c r="Z20" s="45">
        <v>15</v>
      </c>
      <c r="AA20" s="45">
        <v>15</v>
      </c>
      <c r="AB20" s="45">
        <v>15</v>
      </c>
      <c r="AC20" s="45">
        <v>15</v>
      </c>
      <c r="AD20" s="45">
        <v>15</v>
      </c>
      <c r="AE20" s="45">
        <v>5</v>
      </c>
      <c r="AF20" s="45">
        <v>5</v>
      </c>
      <c r="AG20" s="51">
        <v>30</v>
      </c>
      <c r="AH20" s="47">
        <f t="shared" si="2"/>
        <v>16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28</v>
      </c>
      <c r="C21" s="45">
        <v>28</v>
      </c>
      <c r="D21" s="45">
        <v>28</v>
      </c>
      <c r="E21" s="45">
        <v>28</v>
      </c>
      <c r="F21" s="45">
        <v>28</v>
      </c>
      <c r="G21" s="45">
        <v>28</v>
      </c>
      <c r="H21" s="45">
        <v>28</v>
      </c>
      <c r="I21" s="45">
        <v>28</v>
      </c>
      <c r="J21" s="45">
        <v>28</v>
      </c>
      <c r="K21" s="45">
        <v>28</v>
      </c>
      <c r="L21" s="45">
        <v>28</v>
      </c>
      <c r="M21" s="45">
        <v>28</v>
      </c>
      <c r="N21" s="45">
        <v>28</v>
      </c>
      <c r="O21" s="45">
        <v>28</v>
      </c>
      <c r="P21" s="45">
        <v>18.2</v>
      </c>
      <c r="Q21" s="45">
        <v>24</v>
      </c>
      <c r="R21" s="45">
        <v>24</v>
      </c>
      <c r="S21" s="45">
        <v>24</v>
      </c>
      <c r="T21" s="45">
        <v>24</v>
      </c>
      <c r="U21" s="45">
        <v>24</v>
      </c>
      <c r="V21" s="45">
        <v>25.1</v>
      </c>
      <c r="W21" s="45">
        <v>25.1</v>
      </c>
      <c r="X21" s="45">
        <v>25.1</v>
      </c>
      <c r="Y21" s="45">
        <v>25.1</v>
      </c>
      <c r="Z21" s="45">
        <v>25.1</v>
      </c>
      <c r="AA21" s="45">
        <v>25.1</v>
      </c>
      <c r="AB21" s="45">
        <v>25.1</v>
      </c>
      <c r="AC21" s="45">
        <v>25.1</v>
      </c>
      <c r="AD21" s="45">
        <v>25.1</v>
      </c>
      <c r="AE21" s="45">
        <v>20.8</v>
      </c>
      <c r="AF21" s="45">
        <v>20.8</v>
      </c>
      <c r="AG21" s="49">
        <v>24.2</v>
      </c>
      <c r="AH21" s="47">
        <f t="shared" si="2"/>
        <v>28</v>
      </c>
      <c r="AI21" s="48">
        <f t="shared" si="3"/>
        <v>18.2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20</v>
      </c>
      <c r="O22" s="45">
        <v>20</v>
      </c>
      <c r="P22" s="45">
        <v>20</v>
      </c>
      <c r="Q22" s="45">
        <v>20</v>
      </c>
      <c r="R22" s="45">
        <v>22.5</v>
      </c>
      <c r="S22" s="45">
        <v>22.5</v>
      </c>
      <c r="T22" s="45">
        <v>22.5</v>
      </c>
      <c r="U22" s="45">
        <v>22.5</v>
      </c>
      <c r="V22" s="45">
        <v>28.4</v>
      </c>
      <c r="W22" s="45">
        <v>28.4</v>
      </c>
      <c r="X22" s="45">
        <v>28.4</v>
      </c>
      <c r="Y22" s="45">
        <v>28.4</v>
      </c>
      <c r="Z22" s="45">
        <v>28.4</v>
      </c>
      <c r="AA22" s="45">
        <v>28.4</v>
      </c>
      <c r="AB22" s="45">
        <v>28.4</v>
      </c>
      <c r="AC22" s="45">
        <v>28.4</v>
      </c>
      <c r="AD22" s="45">
        <v>28.4</v>
      </c>
      <c r="AE22" s="45">
        <v>20.9</v>
      </c>
      <c r="AF22" s="45">
        <v>20.9</v>
      </c>
      <c r="AG22" s="49">
        <v>28</v>
      </c>
      <c r="AH22" s="47">
        <f t="shared" si="2"/>
        <v>28.4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6</v>
      </c>
      <c r="J23" s="45">
        <v>6</v>
      </c>
      <c r="K23" s="45">
        <v>18</v>
      </c>
      <c r="L23" s="45">
        <v>3</v>
      </c>
      <c r="M23" s="45">
        <v>3</v>
      </c>
      <c r="N23" s="45">
        <v>3</v>
      </c>
      <c r="O23" s="45">
        <v>3</v>
      </c>
      <c r="P23" s="45">
        <v>3</v>
      </c>
      <c r="Q23" s="45">
        <v>3</v>
      </c>
      <c r="R23" s="45">
        <v>3</v>
      </c>
      <c r="S23" s="45">
        <v>3</v>
      </c>
      <c r="T23" s="45">
        <v>3</v>
      </c>
      <c r="U23" s="45">
        <v>3</v>
      </c>
      <c r="V23" s="45">
        <v>3</v>
      </c>
      <c r="W23" s="45">
        <v>3</v>
      </c>
      <c r="X23" s="45">
        <v>3</v>
      </c>
      <c r="Y23" s="45">
        <v>3</v>
      </c>
      <c r="Z23" s="45">
        <v>13.5</v>
      </c>
      <c r="AA23" s="45">
        <v>13.5</v>
      </c>
      <c r="AB23" s="45">
        <v>13.5</v>
      </c>
      <c r="AC23" s="45">
        <v>13.5</v>
      </c>
      <c r="AD23" s="45">
        <v>13.5</v>
      </c>
      <c r="AE23" s="45">
        <v>5</v>
      </c>
      <c r="AF23" s="45">
        <v>5</v>
      </c>
      <c r="AG23" s="51">
        <v>30</v>
      </c>
      <c r="AH23" s="47">
        <f t="shared" si="2"/>
        <v>18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23</v>
      </c>
      <c r="C24" s="45">
        <v>23</v>
      </c>
      <c r="D24" s="45">
        <v>23</v>
      </c>
      <c r="E24" s="45">
        <v>23</v>
      </c>
      <c r="F24" s="45">
        <v>23</v>
      </c>
      <c r="G24" s="45">
        <v>23</v>
      </c>
      <c r="H24" s="45">
        <v>23</v>
      </c>
      <c r="I24" s="45">
        <v>23</v>
      </c>
      <c r="J24" s="45">
        <v>23</v>
      </c>
      <c r="K24" s="45">
        <v>23</v>
      </c>
      <c r="L24" s="45">
        <v>23</v>
      </c>
      <c r="M24" s="45">
        <v>26</v>
      </c>
      <c r="N24" s="45">
        <v>26</v>
      </c>
      <c r="O24" s="45">
        <v>26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</v>
      </c>
      <c r="AF24" s="45">
        <v>24</v>
      </c>
      <c r="AG24" s="49">
        <v>25</v>
      </c>
      <c r="AH24" s="47">
        <f t="shared" si="2"/>
        <v>26</v>
      </c>
      <c r="AI24" s="48">
        <f t="shared" si="3"/>
        <v>23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6</v>
      </c>
      <c r="J27" s="45">
        <v>5</v>
      </c>
      <c r="K27" s="45">
        <v>16</v>
      </c>
      <c r="L27" s="45">
        <v>5</v>
      </c>
      <c r="M27" s="45">
        <v>6</v>
      </c>
      <c r="N27" s="45">
        <v>6</v>
      </c>
      <c r="O27" s="45">
        <v>6</v>
      </c>
      <c r="P27" s="45">
        <v>6</v>
      </c>
      <c r="Q27" s="45">
        <v>6</v>
      </c>
      <c r="R27" s="45">
        <v>4</v>
      </c>
      <c r="S27" s="45">
        <v>4</v>
      </c>
      <c r="T27" s="45">
        <v>4</v>
      </c>
      <c r="U27" s="45">
        <v>4</v>
      </c>
      <c r="V27" s="45">
        <v>4</v>
      </c>
      <c r="W27" s="45">
        <v>4</v>
      </c>
      <c r="X27" s="45">
        <v>4</v>
      </c>
      <c r="Y27" s="45">
        <v>4</v>
      </c>
      <c r="Z27" s="45">
        <v>12.5</v>
      </c>
      <c r="AA27" s="45">
        <v>12.5</v>
      </c>
      <c r="AB27" s="45">
        <v>12.5</v>
      </c>
      <c r="AC27" s="45">
        <v>12.5</v>
      </c>
      <c r="AD27" s="45">
        <v>12.5</v>
      </c>
      <c r="AE27" s="45">
        <v>5</v>
      </c>
      <c r="AF27" s="45">
        <v>5</v>
      </c>
      <c r="AG27" s="49">
        <v>25</v>
      </c>
      <c r="AH27" s="47">
        <f t="shared" si="2"/>
        <v>16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25.3</v>
      </c>
      <c r="E28" s="45">
        <v>25.3</v>
      </c>
      <c r="F28" s="45">
        <v>25.3</v>
      </c>
      <c r="G28" s="45">
        <v>25.3</v>
      </c>
      <c r="H28" s="45">
        <v>25.3</v>
      </c>
      <c r="I28" s="45">
        <v>25.3</v>
      </c>
      <c r="J28" s="45">
        <v>25.3</v>
      </c>
      <c r="K28" s="45">
        <v>25.3</v>
      </c>
      <c r="L28" s="45">
        <v>25.3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25.3</v>
      </c>
      <c r="AI28" s="48">
        <f t="shared" si="3"/>
        <v>25.3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8</v>
      </c>
      <c r="AB33" s="45">
        <v>8</v>
      </c>
      <c r="AC33" s="45">
        <v>8</v>
      </c>
      <c r="AD33" s="45">
        <v>8</v>
      </c>
      <c r="AE33" s="45">
        <v>5</v>
      </c>
      <c r="AF33" s="45">
        <v>0</v>
      </c>
      <c r="AG33" s="49">
        <v>20</v>
      </c>
      <c r="AH33" s="47">
        <f t="shared" si="2"/>
        <v>8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7</v>
      </c>
      <c r="AB34" s="45">
        <v>7</v>
      </c>
      <c r="AC34" s="45">
        <v>7</v>
      </c>
      <c r="AD34" s="45">
        <v>7</v>
      </c>
      <c r="AE34" s="45">
        <v>5</v>
      </c>
      <c r="AF34" s="45">
        <v>0</v>
      </c>
      <c r="AG34" s="49">
        <v>18</v>
      </c>
      <c r="AH34" s="47">
        <f t="shared" si="2"/>
        <v>7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8</v>
      </c>
      <c r="W35" s="45">
        <v>8</v>
      </c>
      <c r="X35" s="45">
        <v>8</v>
      </c>
      <c r="Y35" s="45">
        <v>8</v>
      </c>
      <c r="Z35" s="45">
        <v>8</v>
      </c>
      <c r="AA35" s="45">
        <v>8</v>
      </c>
      <c r="AB35" s="45">
        <v>8</v>
      </c>
      <c r="AC35" s="45">
        <v>8</v>
      </c>
      <c r="AD35" s="45">
        <v>8</v>
      </c>
      <c r="AE35" s="45">
        <v>8</v>
      </c>
      <c r="AF35" s="45">
        <v>8</v>
      </c>
      <c r="AG35" s="49">
        <v>14.9</v>
      </c>
      <c r="AH35" s="47">
        <f t="shared" si="2"/>
        <v>15</v>
      </c>
      <c r="AI35" s="48">
        <f t="shared" si="3"/>
        <v>8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2</v>
      </c>
      <c r="J39" s="45">
        <v>2</v>
      </c>
      <c r="K39" s="45">
        <v>6</v>
      </c>
      <c r="L39" s="45">
        <v>2</v>
      </c>
      <c r="M39" s="45">
        <v>2</v>
      </c>
      <c r="N39" s="45">
        <v>2</v>
      </c>
      <c r="O39" s="45">
        <v>2</v>
      </c>
      <c r="P39" s="45">
        <v>0</v>
      </c>
      <c r="Q39" s="45">
        <v>0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2</v>
      </c>
      <c r="X39" s="45">
        <v>2</v>
      </c>
      <c r="Y39" s="45">
        <v>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8.5</v>
      </c>
      <c r="C40" s="45">
        <v>8.5</v>
      </c>
      <c r="D40" s="45">
        <v>8.5</v>
      </c>
      <c r="E40" s="45">
        <v>8.5</v>
      </c>
      <c r="F40" s="45">
        <v>8.5</v>
      </c>
      <c r="G40" s="45">
        <v>8.5</v>
      </c>
      <c r="H40" s="45">
        <v>8.5</v>
      </c>
      <c r="I40" s="45">
        <v>8.5</v>
      </c>
      <c r="J40" s="45">
        <v>8.5</v>
      </c>
      <c r="K40" s="45">
        <v>8.5</v>
      </c>
      <c r="L40" s="45">
        <v>8.5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8.5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101.69999999999999</v>
      </c>
      <c r="C49" s="56">
        <v>101.69999999999999</v>
      </c>
      <c r="D49" s="56">
        <v>101.69999999999999</v>
      </c>
      <c r="E49" s="56">
        <v>101.69999999999999</v>
      </c>
      <c r="F49" s="56">
        <v>101.69999999999999</v>
      </c>
      <c r="G49" s="56">
        <v>101.69999999999999</v>
      </c>
      <c r="H49" s="56">
        <v>101.69999999999999</v>
      </c>
      <c r="I49" s="56">
        <v>101.69999999999999</v>
      </c>
      <c r="J49" s="56">
        <v>101.69999999999999</v>
      </c>
      <c r="K49" s="56">
        <v>101.69999999999999</v>
      </c>
      <c r="L49" s="56">
        <v>101.69999999999999</v>
      </c>
      <c r="M49" s="58">
        <v>101.7</v>
      </c>
      <c r="N49" s="58">
        <v>101.7</v>
      </c>
      <c r="O49" s="58">
        <v>95.2</v>
      </c>
      <c r="P49" s="58">
        <v>85.1</v>
      </c>
      <c r="Q49" s="58">
        <f>95+10.1</f>
        <v>105.1</v>
      </c>
      <c r="R49" s="58">
        <f>96.2+9.5</f>
        <v>105.7</v>
      </c>
      <c r="S49" s="58">
        <f>96.2+9.5</f>
        <v>105.7</v>
      </c>
      <c r="T49" s="58">
        <f>96.2+9.5</f>
        <v>105.7</v>
      </c>
      <c r="U49" s="58">
        <v>95</v>
      </c>
      <c r="V49" s="58">
        <v>95</v>
      </c>
      <c r="W49" s="58">
        <v>95</v>
      </c>
      <c r="X49" s="58">
        <v>104.3</v>
      </c>
      <c r="Y49" s="58">
        <v>104.3</v>
      </c>
      <c r="Z49" s="58">
        <v>104.3</v>
      </c>
      <c r="AA49" s="58">
        <v>104.3</v>
      </c>
      <c r="AB49" s="58">
        <v>104.3</v>
      </c>
      <c r="AC49" s="58">
        <v>104.3</v>
      </c>
      <c r="AD49" s="58">
        <v>104.3</v>
      </c>
      <c r="AE49" s="58">
        <v>104.3</v>
      </c>
      <c r="AF49" s="58">
        <v>104.3</v>
      </c>
      <c r="AG49" s="54">
        <v>240</v>
      </c>
      <c r="AH49" s="47">
        <f t="shared" si="2"/>
        <v>105.7</v>
      </c>
      <c r="AI49" s="48">
        <f t="shared" si="3"/>
        <v>85.1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1007.5</v>
      </c>
      <c r="C50" s="60">
        <f t="shared" si="4"/>
        <v>1011.5</v>
      </c>
      <c r="D50" s="60">
        <f t="shared" si="4"/>
        <v>1011.5</v>
      </c>
      <c r="E50" s="60">
        <f t="shared" si="4"/>
        <v>1011.5</v>
      </c>
      <c r="F50" s="60">
        <f t="shared" si="4"/>
        <v>1011.5</v>
      </c>
      <c r="G50" s="60">
        <f t="shared" si="4"/>
        <v>1011.5</v>
      </c>
      <c r="H50" s="60">
        <f t="shared" si="4"/>
        <v>1011.5</v>
      </c>
      <c r="I50" s="60">
        <f t="shared" si="4"/>
        <v>1025.5</v>
      </c>
      <c r="J50" s="60">
        <f t="shared" si="4"/>
        <v>1037.5</v>
      </c>
      <c r="K50" s="60">
        <f t="shared" si="4"/>
        <v>1086.5</v>
      </c>
      <c r="L50" s="60">
        <f t="shared" si="4"/>
        <v>1041.96</v>
      </c>
      <c r="M50" s="60">
        <f t="shared" si="4"/>
        <v>1050.3</v>
      </c>
      <c r="N50" s="60">
        <f t="shared" si="4"/>
        <v>1042.3</v>
      </c>
      <c r="O50" s="60">
        <f t="shared" si="4"/>
        <v>1042.3</v>
      </c>
      <c r="P50" s="60">
        <f t="shared" si="4"/>
        <v>1029.4000000000001</v>
      </c>
      <c r="Q50" s="60">
        <f t="shared" si="4"/>
        <v>1035.2</v>
      </c>
      <c r="R50" s="60">
        <f t="shared" si="4"/>
        <v>1037.7</v>
      </c>
      <c r="S50" s="60">
        <f t="shared" si="4"/>
        <v>1037.7</v>
      </c>
      <c r="T50" s="60">
        <f t="shared" si="4"/>
        <v>1037.7</v>
      </c>
      <c r="U50" s="60">
        <f t="shared" si="4"/>
        <v>1043.7</v>
      </c>
      <c r="V50" s="60">
        <f t="shared" si="4"/>
        <v>1025.3</v>
      </c>
      <c r="W50" s="60">
        <f t="shared" si="4"/>
        <v>1025.3</v>
      </c>
      <c r="X50" s="60">
        <f t="shared" si="4"/>
        <v>1025.3</v>
      </c>
      <c r="Y50" s="60">
        <f t="shared" si="4"/>
        <v>1025.3</v>
      </c>
      <c r="Z50" s="60">
        <f t="shared" si="4"/>
        <v>1076.3</v>
      </c>
      <c r="AA50" s="60">
        <f t="shared" si="4"/>
        <v>1083.3</v>
      </c>
      <c r="AB50" s="60">
        <f>SUM(AB11:AB48)</f>
        <v>1082.9000000000001</v>
      </c>
      <c r="AC50" s="60">
        <f t="shared" si="4"/>
        <v>1082.9000000000001</v>
      </c>
      <c r="AD50" s="60">
        <f t="shared" si="4"/>
        <v>1082.9000000000001</v>
      </c>
      <c r="AE50" s="60">
        <f t="shared" si="4"/>
        <v>1024.5999999999999</v>
      </c>
      <c r="AF50" s="60">
        <f t="shared" si="4"/>
        <v>1014.6</v>
      </c>
      <c r="AG50" s="61">
        <f>SUM(AG13:AG48)</f>
        <v>922.14</v>
      </c>
      <c r="AH50" s="47">
        <f t="shared" si="2"/>
        <v>1086.5</v>
      </c>
      <c r="AI50" s="48">
        <f t="shared" si="3"/>
        <v>1007.5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538.5</v>
      </c>
      <c r="C54" s="60">
        <f t="shared" si="5"/>
        <v>538.5</v>
      </c>
      <c r="D54" s="60">
        <f t="shared" si="5"/>
        <v>538.5</v>
      </c>
      <c r="E54" s="60">
        <f t="shared" si="5"/>
        <v>538.5</v>
      </c>
      <c r="F54" s="60">
        <f t="shared" si="5"/>
        <v>538.5</v>
      </c>
      <c r="G54" s="60">
        <f t="shared" si="5"/>
        <v>538.5</v>
      </c>
      <c r="H54" s="60">
        <f t="shared" si="5"/>
        <v>538.5</v>
      </c>
      <c r="I54" s="60">
        <f t="shared" si="5"/>
        <v>538.5</v>
      </c>
      <c r="J54" s="60">
        <f t="shared" si="5"/>
        <v>538.5</v>
      </c>
      <c r="K54" s="60">
        <f t="shared" si="5"/>
        <v>538.5</v>
      </c>
      <c r="L54" s="60">
        <f t="shared" si="5"/>
        <v>538.5</v>
      </c>
      <c r="M54" s="60">
        <f t="shared" si="5"/>
        <v>538.5</v>
      </c>
      <c r="N54" s="60">
        <f t="shared" si="5"/>
        <v>538.5</v>
      </c>
      <c r="O54" s="60">
        <f t="shared" si="5"/>
        <v>538.5</v>
      </c>
      <c r="P54" s="60">
        <f t="shared" si="5"/>
        <v>538.5</v>
      </c>
      <c r="Q54" s="60">
        <f t="shared" si="5"/>
        <v>538.5</v>
      </c>
      <c r="R54" s="60">
        <f t="shared" si="5"/>
        <v>538.5</v>
      </c>
      <c r="S54" s="60">
        <f t="shared" si="5"/>
        <v>538.5</v>
      </c>
      <c r="T54" s="60">
        <f t="shared" si="5"/>
        <v>538.5</v>
      </c>
      <c r="U54" s="60">
        <f t="shared" si="5"/>
        <v>538.5</v>
      </c>
      <c r="V54" s="60">
        <f t="shared" si="5"/>
        <v>538.5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>SUM(AB51:AB53)</f>
        <v>538.4</v>
      </c>
      <c r="AC54" s="60">
        <f t="shared" si="5"/>
        <v>538.4</v>
      </c>
      <c r="AD54" s="60">
        <f t="shared" si="5"/>
        <v>538.4</v>
      </c>
      <c r="AE54" s="60">
        <f t="shared" si="5"/>
        <v>528.4</v>
      </c>
      <c r="AF54" s="60">
        <f t="shared" si="5"/>
        <v>528.4</v>
      </c>
      <c r="AG54" s="61">
        <f t="shared" si="5"/>
        <v>538.1</v>
      </c>
      <c r="AH54" s="47">
        <f t="shared" si="2"/>
        <v>538.5</v>
      </c>
      <c r="AI54" s="48">
        <f t="shared" si="3"/>
        <v>528.4</v>
      </c>
      <c r="AK54" s="50"/>
    </row>
    <row r="55" spans="1:41" x14ac:dyDescent="0.25">
      <c r="A55" s="44" t="s">
        <v>63</v>
      </c>
      <c r="B55" s="45">
        <v>100</v>
      </c>
      <c r="C55" s="45">
        <v>72.5</v>
      </c>
      <c r="D55" s="45">
        <v>72.5</v>
      </c>
      <c r="E55" s="45">
        <v>72.5</v>
      </c>
      <c r="F55" s="45">
        <v>72.5</v>
      </c>
      <c r="G55" s="45">
        <v>132</v>
      </c>
      <c r="H55" s="45">
        <v>133</v>
      </c>
      <c r="I55" s="45">
        <v>135</v>
      </c>
      <c r="J55" s="45">
        <v>135</v>
      </c>
      <c r="K55" s="45">
        <v>135</v>
      </c>
      <c r="L55" s="45">
        <v>135</v>
      </c>
      <c r="M55" s="45">
        <v>111.4</v>
      </c>
      <c r="N55" s="45">
        <v>101.4</v>
      </c>
      <c r="O55" s="45">
        <v>101.4</v>
      </c>
      <c r="P55" s="45">
        <v>101.4</v>
      </c>
      <c r="Q55" s="45">
        <v>101.4</v>
      </c>
      <c r="R55" s="45">
        <v>91.3</v>
      </c>
      <c r="S55" s="45">
        <v>102</v>
      </c>
      <c r="T55" s="45">
        <v>102</v>
      </c>
      <c r="U55" s="45">
        <v>96.5</v>
      </c>
      <c r="V55" s="45">
        <v>121.3</v>
      </c>
      <c r="W55" s="45">
        <v>121.3</v>
      </c>
      <c r="X55" s="45">
        <v>121.3</v>
      </c>
      <c r="Y55" s="45">
        <v>121.3</v>
      </c>
      <c r="Z55" s="45">
        <v>135.4</v>
      </c>
      <c r="AA55" s="45">
        <v>135.4</v>
      </c>
      <c r="AB55" s="45">
        <v>121.5</v>
      </c>
      <c r="AC55" s="45">
        <v>121.5</v>
      </c>
      <c r="AD55" s="45">
        <v>121.5</v>
      </c>
      <c r="AE55" s="45">
        <v>102</v>
      </c>
      <c r="AF55" s="45">
        <v>102</v>
      </c>
      <c r="AG55" s="51">
        <v>144</v>
      </c>
      <c r="AH55" s="47">
        <f t="shared" si="2"/>
        <v>135.4</v>
      </c>
      <c r="AI55" s="48">
        <f t="shared" si="3"/>
        <v>72.5</v>
      </c>
      <c r="AK55" s="50"/>
    </row>
    <row r="56" spans="1:41" x14ac:dyDescent="0.25">
      <c r="A56" s="53" t="s">
        <v>64</v>
      </c>
      <c r="B56" s="64">
        <v>50</v>
      </c>
      <c r="C56" s="64">
        <v>70</v>
      </c>
      <c r="D56" s="64">
        <v>70</v>
      </c>
      <c r="E56" s="64">
        <v>70</v>
      </c>
      <c r="F56" s="64">
        <v>70</v>
      </c>
      <c r="G56" s="64">
        <v>70</v>
      </c>
      <c r="H56" s="64">
        <v>70</v>
      </c>
      <c r="I56" s="64">
        <v>70</v>
      </c>
      <c r="J56" s="64">
        <v>70</v>
      </c>
      <c r="K56" s="64">
        <v>70</v>
      </c>
      <c r="L56" s="64">
        <v>70</v>
      </c>
      <c r="M56" s="64">
        <v>45.9</v>
      </c>
      <c r="N56" s="64">
        <v>44.9</v>
      </c>
      <c r="O56" s="64">
        <v>45.5</v>
      </c>
      <c r="P56" s="64">
        <v>45.3</v>
      </c>
      <c r="Q56" s="64">
        <v>45.9</v>
      </c>
      <c r="R56" s="64">
        <v>46.3</v>
      </c>
      <c r="S56" s="64">
        <v>46.3</v>
      </c>
      <c r="T56" s="64">
        <v>46.3</v>
      </c>
      <c r="U56" s="64">
        <v>46.3</v>
      </c>
      <c r="V56" s="64">
        <v>46.8</v>
      </c>
      <c r="W56" s="64">
        <v>46.8</v>
      </c>
      <c r="X56" s="64">
        <v>48.6</v>
      </c>
      <c r="Y56" s="64">
        <v>48.6</v>
      </c>
      <c r="Z56" s="64">
        <v>71.3</v>
      </c>
      <c r="AA56" s="64">
        <v>71.3</v>
      </c>
      <c r="AB56" s="64">
        <v>62.6</v>
      </c>
      <c r="AC56" s="64">
        <v>62.6</v>
      </c>
      <c r="AD56" s="64">
        <v>62.6</v>
      </c>
      <c r="AE56" s="45">
        <v>52</v>
      </c>
      <c r="AF56" s="45">
        <v>52</v>
      </c>
      <c r="AG56" s="54">
        <v>70</v>
      </c>
      <c r="AH56" s="47">
        <f t="shared" si="2"/>
        <v>71.3</v>
      </c>
      <c r="AI56" s="48">
        <f t="shared" si="3"/>
        <v>44.9</v>
      </c>
      <c r="AK56" s="50"/>
    </row>
    <row r="57" spans="1:41" x14ac:dyDescent="0.25">
      <c r="A57" s="53" t="s">
        <v>65</v>
      </c>
      <c r="B57" s="64">
        <v>53</v>
      </c>
      <c r="C57" s="64">
        <v>53</v>
      </c>
      <c r="D57" s="64">
        <v>0</v>
      </c>
      <c r="E57" s="64">
        <v>0</v>
      </c>
      <c r="F57" s="64">
        <v>0</v>
      </c>
      <c r="G57" s="64">
        <v>0</v>
      </c>
      <c r="H57" s="64">
        <v>0</v>
      </c>
      <c r="I57" s="64">
        <v>0</v>
      </c>
      <c r="J57" s="64">
        <v>0</v>
      </c>
      <c r="K57" s="64">
        <v>0</v>
      </c>
      <c r="L57" s="64">
        <v>0</v>
      </c>
      <c r="M57" s="64">
        <v>33.799999999999997</v>
      </c>
      <c r="N57" s="64">
        <v>33.200000000000003</v>
      </c>
      <c r="O57" s="64">
        <v>48.3</v>
      </c>
      <c r="P57" s="64">
        <v>57.1</v>
      </c>
      <c r="Q57" s="64">
        <v>49.7</v>
      </c>
      <c r="R57" s="64">
        <v>50</v>
      </c>
      <c r="S57" s="64">
        <v>50</v>
      </c>
      <c r="T57" s="64">
        <v>50</v>
      </c>
      <c r="U57" s="64">
        <v>50</v>
      </c>
      <c r="V57" s="64">
        <v>64.8</v>
      </c>
      <c r="W57" s="64">
        <v>64.8</v>
      </c>
      <c r="X57" s="64">
        <v>64.8</v>
      </c>
      <c r="Y57" s="64">
        <v>64.8</v>
      </c>
      <c r="Z57" s="64">
        <v>64.8</v>
      </c>
      <c r="AA57" s="64">
        <v>64.8</v>
      </c>
      <c r="AB57" s="64">
        <v>60.6</v>
      </c>
      <c r="AC57" s="64">
        <v>60.6</v>
      </c>
      <c r="AD57" s="64">
        <v>60.6</v>
      </c>
      <c r="AE57" s="45">
        <v>50</v>
      </c>
      <c r="AF57" s="45">
        <v>50</v>
      </c>
      <c r="AG57" s="54">
        <v>69</v>
      </c>
      <c r="AH57" s="47">
        <f t="shared" si="2"/>
        <v>64.8</v>
      </c>
      <c r="AI57" s="48">
        <f t="shared" si="3"/>
        <v>0</v>
      </c>
      <c r="AK57" s="50"/>
    </row>
    <row r="58" spans="1:41" x14ac:dyDescent="0.25">
      <c r="A58" s="53" t="s">
        <v>66</v>
      </c>
      <c r="B58" s="64">
        <v>43</v>
      </c>
      <c r="C58" s="64">
        <v>43</v>
      </c>
      <c r="D58" s="64">
        <v>60</v>
      </c>
      <c r="E58" s="64">
        <v>60</v>
      </c>
      <c r="F58" s="64">
        <v>60</v>
      </c>
      <c r="G58" s="64">
        <v>60</v>
      </c>
      <c r="H58" s="64">
        <v>60</v>
      </c>
      <c r="I58" s="64">
        <v>60</v>
      </c>
      <c r="J58" s="64">
        <v>60</v>
      </c>
      <c r="K58" s="64">
        <v>60</v>
      </c>
      <c r="L58" s="64">
        <v>60</v>
      </c>
      <c r="M58" s="64">
        <v>50</v>
      </c>
      <c r="N58" s="64">
        <v>40</v>
      </c>
      <c r="O58" s="64">
        <v>39.299999999999997</v>
      </c>
      <c r="P58" s="64">
        <v>41.1</v>
      </c>
      <c r="Q58" s="64">
        <v>21.9</v>
      </c>
      <c r="R58" s="64">
        <v>21.9</v>
      </c>
      <c r="S58" s="64">
        <v>21.9</v>
      </c>
      <c r="T58" s="64">
        <v>31.5</v>
      </c>
      <c r="U58" s="64">
        <v>41</v>
      </c>
      <c r="V58" s="64">
        <v>51.9</v>
      </c>
      <c r="W58" s="64">
        <v>51.9</v>
      </c>
      <c r="X58" s="64">
        <v>51.9</v>
      </c>
      <c r="Y58" s="64">
        <v>51.9</v>
      </c>
      <c r="Z58" s="64">
        <v>60.9</v>
      </c>
      <c r="AA58" s="64">
        <v>60.9</v>
      </c>
      <c r="AB58" s="64">
        <v>41.8</v>
      </c>
      <c r="AC58" s="64">
        <v>41.8</v>
      </c>
      <c r="AD58" s="64">
        <v>41.8</v>
      </c>
      <c r="AE58" s="45">
        <v>41.8</v>
      </c>
      <c r="AF58" s="45">
        <v>41.8</v>
      </c>
      <c r="AG58" s="54">
        <v>60</v>
      </c>
      <c r="AH58" s="47">
        <f t="shared" si="2"/>
        <v>60.9</v>
      </c>
      <c r="AI58" s="48">
        <f t="shared" si="3"/>
        <v>21.9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64">
        <v>28</v>
      </c>
      <c r="G59" s="64">
        <v>28</v>
      </c>
      <c r="H59" s="64">
        <v>28</v>
      </c>
      <c r="I59" s="64">
        <v>28</v>
      </c>
      <c r="J59" s="64">
        <v>28</v>
      </c>
      <c r="K59" s="64">
        <v>28</v>
      </c>
      <c r="L59" s="64">
        <v>28</v>
      </c>
      <c r="M59" s="64">
        <v>28</v>
      </c>
      <c r="N59" s="64">
        <v>28</v>
      </c>
      <c r="O59" s="64">
        <v>28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64">
        <v>15</v>
      </c>
      <c r="Z59" s="64">
        <v>26</v>
      </c>
      <c r="AA59" s="64">
        <v>26</v>
      </c>
      <c r="AB59" s="64">
        <v>26</v>
      </c>
      <c r="AC59" s="64">
        <v>26</v>
      </c>
      <c r="AD59" s="64">
        <v>26</v>
      </c>
      <c r="AE59" s="45">
        <v>15</v>
      </c>
      <c r="AF59" s="45">
        <v>15</v>
      </c>
      <c r="AG59" s="54">
        <v>30</v>
      </c>
      <c r="AH59" s="47">
        <f t="shared" si="2"/>
        <v>28</v>
      </c>
      <c r="AI59" s="48">
        <f t="shared" si="3"/>
        <v>15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5.6</v>
      </c>
      <c r="O60" s="64">
        <v>5.6</v>
      </c>
      <c r="P60" s="64">
        <v>14.7</v>
      </c>
      <c r="Q60" s="64">
        <v>14.7</v>
      </c>
      <c r="R60" s="64">
        <v>14.7</v>
      </c>
      <c r="S60" s="64">
        <v>3.1</v>
      </c>
      <c r="T60" s="64">
        <v>2.2999999999999998</v>
      </c>
      <c r="U60" s="64">
        <v>1.3</v>
      </c>
      <c r="V60" s="64">
        <v>0.4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45">
        <v>0</v>
      </c>
      <c r="AF60" s="45">
        <v>0</v>
      </c>
      <c r="AG60" s="54">
        <v>25</v>
      </c>
      <c r="AH60" s="47">
        <f t="shared" si="2"/>
        <v>14.7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10</v>
      </c>
      <c r="C61" s="64">
        <v>10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12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0</v>
      </c>
      <c r="N62" s="64">
        <v>0</v>
      </c>
      <c r="O62" s="64">
        <v>0</v>
      </c>
      <c r="P62" s="64">
        <v>4.5999999999999996</v>
      </c>
      <c r="Q62" s="64">
        <v>4.5999999999999996</v>
      </c>
      <c r="R62" s="64">
        <v>4.5999999999999996</v>
      </c>
      <c r="S62" s="64">
        <v>4.5999999999999996</v>
      </c>
      <c r="T62" s="64">
        <v>4.5999999999999996</v>
      </c>
      <c r="U62" s="64">
        <v>4.5999999999999996</v>
      </c>
      <c r="V62" s="64">
        <v>4.5999999999999996</v>
      </c>
      <c r="W62" s="64">
        <v>4.5999999999999996</v>
      </c>
      <c r="X62" s="64">
        <v>4.5999999999999996</v>
      </c>
      <c r="Y62" s="64">
        <v>4.5999999999999996</v>
      </c>
      <c r="Z62" s="64">
        <v>4.5999999999999996</v>
      </c>
      <c r="AA62" s="64">
        <v>4.5999999999999996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4.5999999999999996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10.6</v>
      </c>
      <c r="C63" s="64">
        <v>10.6</v>
      </c>
      <c r="D63" s="64">
        <v>10.6</v>
      </c>
      <c r="E63" s="64">
        <v>10.6</v>
      </c>
      <c r="F63" s="64">
        <v>10.6</v>
      </c>
      <c r="G63" s="64">
        <v>10.6</v>
      </c>
      <c r="H63" s="64">
        <v>10.6</v>
      </c>
      <c r="I63" s="64">
        <v>10.6</v>
      </c>
      <c r="J63" s="64">
        <v>10.6</v>
      </c>
      <c r="K63" s="64">
        <v>10.6</v>
      </c>
      <c r="L63" s="64">
        <v>10.6</v>
      </c>
      <c r="M63" s="64">
        <v>10.6</v>
      </c>
      <c r="N63" s="64">
        <v>10.6</v>
      </c>
      <c r="O63" s="64">
        <v>0</v>
      </c>
      <c r="P63" s="64">
        <v>10.6</v>
      </c>
      <c r="Q63" s="64">
        <v>10.6</v>
      </c>
      <c r="R63" s="64">
        <v>10.6</v>
      </c>
      <c r="S63" s="64">
        <v>10.6</v>
      </c>
      <c r="T63" s="64">
        <v>10.6</v>
      </c>
      <c r="U63" s="64">
        <v>10.6</v>
      </c>
      <c r="V63" s="64">
        <v>10.6</v>
      </c>
      <c r="W63" s="64">
        <v>10.6</v>
      </c>
      <c r="X63" s="64">
        <v>10.6</v>
      </c>
      <c r="Y63" s="64">
        <v>10.6</v>
      </c>
      <c r="Z63" s="64">
        <v>10.6</v>
      </c>
      <c r="AA63" s="64">
        <v>10.6</v>
      </c>
      <c r="AB63" s="64">
        <v>10.6</v>
      </c>
      <c r="AC63" s="64">
        <v>10.6</v>
      </c>
      <c r="AD63" s="64">
        <v>10.6</v>
      </c>
      <c r="AE63" s="64">
        <v>10.6</v>
      </c>
      <c r="AF63" s="64">
        <v>10.6</v>
      </c>
      <c r="AG63" s="54">
        <v>14.1</v>
      </c>
      <c r="AH63" s="47">
        <f t="shared" si="2"/>
        <v>10.6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13.5</v>
      </c>
      <c r="C64" s="64">
        <v>13.5</v>
      </c>
      <c r="D64" s="64">
        <v>13.5</v>
      </c>
      <c r="E64" s="64">
        <v>13.5</v>
      </c>
      <c r="F64" s="64">
        <v>13.5</v>
      </c>
      <c r="G64" s="64">
        <v>13.5</v>
      </c>
      <c r="H64" s="64">
        <v>13.5</v>
      </c>
      <c r="I64" s="64">
        <v>13.5</v>
      </c>
      <c r="J64" s="64">
        <v>13.5</v>
      </c>
      <c r="K64" s="64">
        <v>13.5</v>
      </c>
      <c r="L64" s="64">
        <v>13.5</v>
      </c>
      <c r="M64" s="64">
        <v>13.5</v>
      </c>
      <c r="N64" s="64">
        <v>13.5</v>
      </c>
      <c r="O64" s="64">
        <v>5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14</v>
      </c>
      <c r="AF64" s="64">
        <v>14</v>
      </c>
      <c r="AG64" s="54">
        <v>14</v>
      </c>
      <c r="AH64" s="47">
        <f t="shared" si="2"/>
        <v>14</v>
      </c>
      <c r="AI64" s="48">
        <f t="shared" si="3"/>
        <v>5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326.84000000000003</v>
      </c>
      <c r="C68" s="60">
        <f t="shared" si="6"/>
        <v>319.34000000000003</v>
      </c>
      <c r="D68" s="60">
        <f t="shared" si="6"/>
        <v>285.34000000000003</v>
      </c>
      <c r="E68" s="60">
        <f t="shared" si="6"/>
        <v>285.34000000000003</v>
      </c>
      <c r="F68" s="60">
        <f t="shared" si="6"/>
        <v>285.34000000000003</v>
      </c>
      <c r="G68" s="60">
        <f t="shared" si="6"/>
        <v>344.84000000000003</v>
      </c>
      <c r="H68" s="60">
        <f t="shared" si="6"/>
        <v>345.84000000000003</v>
      </c>
      <c r="I68" s="60">
        <f t="shared" si="6"/>
        <v>347.84000000000003</v>
      </c>
      <c r="J68" s="60">
        <f t="shared" si="6"/>
        <v>347.84000000000003</v>
      </c>
      <c r="K68" s="60">
        <f t="shared" si="6"/>
        <v>347.84000000000003</v>
      </c>
      <c r="L68" s="60">
        <f t="shared" si="6"/>
        <v>347.84000000000003</v>
      </c>
      <c r="M68" s="60">
        <f t="shared" si="6"/>
        <v>323.94000000000005</v>
      </c>
      <c r="N68" s="60">
        <f t="shared" si="6"/>
        <v>307.94000000000005</v>
      </c>
      <c r="O68" s="60">
        <f t="shared" si="6"/>
        <v>303.84000000000003</v>
      </c>
      <c r="P68" s="60">
        <f t="shared" si="6"/>
        <v>334.54</v>
      </c>
      <c r="Q68" s="60">
        <f t="shared" si="6"/>
        <v>308.54000000000008</v>
      </c>
      <c r="R68" s="60">
        <f t="shared" si="6"/>
        <v>299.14</v>
      </c>
      <c r="S68" s="60">
        <f t="shared" si="6"/>
        <v>298.24</v>
      </c>
      <c r="T68" s="60">
        <f t="shared" si="6"/>
        <v>307.04000000000008</v>
      </c>
      <c r="U68" s="60">
        <f t="shared" si="6"/>
        <v>310.04000000000008</v>
      </c>
      <c r="V68" s="60">
        <f t="shared" si="6"/>
        <v>360.14</v>
      </c>
      <c r="W68" s="60">
        <f t="shared" si="6"/>
        <v>359.74</v>
      </c>
      <c r="X68" s="60">
        <f t="shared" si="6"/>
        <v>361.54</v>
      </c>
      <c r="Y68" s="60">
        <f t="shared" si="6"/>
        <v>361.54</v>
      </c>
      <c r="Z68" s="60">
        <f t="shared" si="6"/>
        <v>418.34000000000003</v>
      </c>
      <c r="AA68" s="60">
        <f t="shared" si="6"/>
        <v>418.34000000000003</v>
      </c>
      <c r="AB68" s="60">
        <f>SUM(AB55:AB67)</f>
        <v>372.44000000000005</v>
      </c>
      <c r="AC68" s="60">
        <f t="shared" si="6"/>
        <v>372.44000000000005</v>
      </c>
      <c r="AD68" s="60">
        <f t="shared" si="6"/>
        <v>372.44000000000005</v>
      </c>
      <c r="AE68" s="60">
        <f t="shared" si="6"/>
        <v>320.74000000000007</v>
      </c>
      <c r="AF68" s="60">
        <f t="shared" si="6"/>
        <v>320.74000000000007</v>
      </c>
      <c r="AG68" s="61">
        <f t="shared" si="6"/>
        <v>489.91</v>
      </c>
      <c r="AH68" s="47">
        <f t="shared" si="2"/>
        <v>418.34000000000003</v>
      </c>
      <c r="AI68" s="48">
        <f t="shared" si="3"/>
        <v>285.34000000000003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>AB69+AB70+AB71</f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-17</v>
      </c>
      <c r="C73" s="45">
        <v>-15.5</v>
      </c>
      <c r="D73" s="45">
        <v>-22.1</v>
      </c>
      <c r="E73" s="45">
        <v>-2</v>
      </c>
      <c r="F73" s="45">
        <v>-5</v>
      </c>
      <c r="G73" s="45">
        <v>6.3</v>
      </c>
      <c r="H73" s="45">
        <v>0</v>
      </c>
      <c r="I73" s="45"/>
      <c r="J73" s="45">
        <v>-10</v>
      </c>
      <c r="K73" s="45">
        <v>-15</v>
      </c>
      <c r="L73" s="45"/>
      <c r="M73" s="45">
        <v>-50</v>
      </c>
      <c r="N73" s="45">
        <v>-41</v>
      </c>
      <c r="O73" s="45">
        <v>-31</v>
      </c>
      <c r="P73" s="45">
        <v>-30</v>
      </c>
      <c r="Q73" s="45">
        <v>-30</v>
      </c>
      <c r="R73" s="45">
        <v>-40</v>
      </c>
      <c r="S73" s="45">
        <v>-39</v>
      </c>
      <c r="T73" s="45">
        <v>-37</v>
      </c>
      <c r="U73" s="45">
        <v>-40</v>
      </c>
      <c r="V73" s="45">
        <v>-26.5</v>
      </c>
      <c r="W73" s="45">
        <v>-27</v>
      </c>
      <c r="X73" s="45">
        <v>-30</v>
      </c>
      <c r="Y73" s="45">
        <v>-31</v>
      </c>
      <c r="Z73" s="45">
        <v>-38</v>
      </c>
      <c r="AA73" s="45">
        <v>-40</v>
      </c>
      <c r="AB73" s="45">
        <v>-42</v>
      </c>
      <c r="AC73" s="45">
        <v>-45</v>
      </c>
      <c r="AD73" s="45">
        <v>-39</v>
      </c>
      <c r="AE73" s="45">
        <v>-45</v>
      </c>
      <c r="AF73" s="45">
        <v>-46</v>
      </c>
      <c r="AG73" s="51"/>
      <c r="AH73" s="47">
        <f t="shared" si="2"/>
        <v>6.3</v>
      </c>
      <c r="AI73" s="48">
        <f t="shared" si="3"/>
        <v>-50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/>
      <c r="F74" s="64"/>
      <c r="G74" s="64"/>
      <c r="H74" s="64"/>
      <c r="I74" s="64"/>
      <c r="J74" s="64">
        <v>0</v>
      </c>
      <c r="K74" s="64">
        <v>0</v>
      </c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/>
      <c r="S74" s="64"/>
      <c r="T74" s="64"/>
      <c r="U74" s="64"/>
      <c r="V74" s="64">
        <v>0</v>
      </c>
      <c r="W74" s="64">
        <v>0</v>
      </c>
      <c r="X74" s="64"/>
      <c r="Y74" s="64"/>
      <c r="Z74" s="64"/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-262</v>
      </c>
      <c r="C75" s="64">
        <v>-274</v>
      </c>
      <c r="D75" s="64">
        <v>-291</v>
      </c>
      <c r="E75" s="64">
        <v>-303</v>
      </c>
      <c r="F75" s="64">
        <v>-355</v>
      </c>
      <c r="G75" s="64">
        <v>-326</v>
      </c>
      <c r="H75" s="64">
        <v>-406.2</v>
      </c>
      <c r="I75" s="64"/>
      <c r="J75" s="64">
        <v>-472</v>
      </c>
      <c r="K75" s="64">
        <v>-468</v>
      </c>
      <c r="L75" s="64">
        <v>-395</v>
      </c>
      <c r="M75" s="64">
        <v>-385</v>
      </c>
      <c r="N75" s="64">
        <v>-370.9</v>
      </c>
      <c r="O75" s="64">
        <v>-351.7</v>
      </c>
      <c r="P75" s="64">
        <v>-386.7</v>
      </c>
      <c r="Q75" s="64">
        <v>-394</v>
      </c>
      <c r="R75" s="64">
        <v>-390</v>
      </c>
      <c r="S75" s="64">
        <v>-364</v>
      </c>
      <c r="T75" s="64">
        <v>-387</v>
      </c>
      <c r="U75" s="64">
        <v>-370</v>
      </c>
      <c r="V75" s="64">
        <v>-427</v>
      </c>
      <c r="W75" s="64">
        <v>-445</v>
      </c>
      <c r="X75" s="64">
        <v>-423</v>
      </c>
      <c r="Y75" s="64">
        <v>-392</v>
      </c>
      <c r="Z75" s="64">
        <v>-378</v>
      </c>
      <c r="AA75" s="64">
        <v>-342</v>
      </c>
      <c r="AB75" s="64">
        <v>-334.7</v>
      </c>
      <c r="AC75" s="64">
        <v>-349</v>
      </c>
      <c r="AD75" s="64">
        <v>-353</v>
      </c>
      <c r="AE75" s="64">
        <v>-360</v>
      </c>
      <c r="AF75" s="64">
        <v>-361</v>
      </c>
      <c r="AG75" s="74"/>
      <c r="AH75" s="47">
        <f t="shared" si="2"/>
        <v>-262</v>
      </c>
      <c r="AI75" s="48">
        <f t="shared" si="3"/>
        <v>-472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75"/>
      <c r="F76" s="75"/>
      <c r="G76" s="75"/>
      <c r="H76" s="75"/>
      <c r="I76" s="75"/>
      <c r="J76" s="75">
        <v>0</v>
      </c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64">
        <v>0</v>
      </c>
      <c r="C77" s="64">
        <v>0</v>
      </c>
      <c r="D77" s="64">
        <v>0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64">
        <v>0</v>
      </c>
      <c r="C78" s="64">
        <v>0</v>
      </c>
      <c r="D78" s="64">
        <v>0</v>
      </c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64">
        <v>0</v>
      </c>
      <c r="C79" s="64">
        <v>0</v>
      </c>
      <c r="D79" s="64">
        <v>0</v>
      </c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64">
        <v>0</v>
      </c>
      <c r="C80" s="64">
        <v>0</v>
      </c>
      <c r="D80" s="64">
        <v>0</v>
      </c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8"/>
        <v>0</v>
      </c>
      <c r="AI80" s="48">
        <f t="shared" si="9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64">
        <v>0</v>
      </c>
      <c r="C81" s="64">
        <v>0</v>
      </c>
      <c r="D81" s="64">
        <v>0</v>
      </c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64">
        <v>0</v>
      </c>
      <c r="C82" s="64">
        <v>0</v>
      </c>
      <c r="D82" s="64">
        <v>0</v>
      </c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64">
        <v>0</v>
      </c>
      <c r="C83" s="64">
        <v>0</v>
      </c>
      <c r="D83" s="64">
        <v>0</v>
      </c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 t="shared" ref="B84:AF84" si="10">SUMIF(B73:B83,"&gt;0")</f>
        <v>0</v>
      </c>
      <c r="C84" s="60">
        <f t="shared" si="10"/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6.3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>
        <f>SUMIF(AB73:AB83,"&gt;0")</f>
        <v>0</v>
      </c>
      <c r="AC84" s="60">
        <f t="shared" si="10"/>
        <v>0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6.3</v>
      </c>
      <c r="AI84" s="48">
        <f t="shared" si="9"/>
        <v>0</v>
      </c>
      <c r="AK84" s="85"/>
      <c r="AL84" s="76"/>
      <c r="AM84" s="88"/>
      <c r="AN84" s="181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1872.8400000000001</v>
      </c>
      <c r="C89" s="94">
        <f t="shared" si="11"/>
        <v>1869.3400000000001</v>
      </c>
      <c r="D89" s="94">
        <f t="shared" si="11"/>
        <v>1835.3400000000001</v>
      </c>
      <c r="E89" s="94">
        <f t="shared" si="11"/>
        <v>1835.3400000000001</v>
      </c>
      <c r="F89" s="94">
        <f t="shared" si="11"/>
        <v>1835.3400000000001</v>
      </c>
      <c r="G89" s="94">
        <f t="shared" si="11"/>
        <v>1901.14</v>
      </c>
      <c r="H89" s="94">
        <f t="shared" si="11"/>
        <v>1895.8400000000001</v>
      </c>
      <c r="I89" s="94">
        <f t="shared" si="11"/>
        <v>1911.8400000000001</v>
      </c>
      <c r="J89" s="94">
        <f t="shared" si="11"/>
        <v>1923.8400000000001</v>
      </c>
      <c r="K89" s="94">
        <f t="shared" si="11"/>
        <v>1972.8400000000001</v>
      </c>
      <c r="L89" s="94">
        <f t="shared" si="11"/>
        <v>1928.3000000000002</v>
      </c>
      <c r="M89" s="94">
        <f t="shared" si="11"/>
        <v>1912.74</v>
      </c>
      <c r="N89" s="94">
        <f t="shared" si="11"/>
        <v>1888.74</v>
      </c>
      <c r="O89" s="94">
        <f t="shared" si="11"/>
        <v>1884.6399999999999</v>
      </c>
      <c r="P89" s="94">
        <f t="shared" si="11"/>
        <v>1902.44</v>
      </c>
      <c r="Q89" s="94">
        <f t="shared" si="11"/>
        <v>1882.2400000000002</v>
      </c>
      <c r="R89" s="94">
        <f t="shared" si="11"/>
        <v>1875.3400000000001</v>
      </c>
      <c r="S89" s="94">
        <f t="shared" si="11"/>
        <v>1874.44</v>
      </c>
      <c r="T89" s="94">
        <f t="shared" si="11"/>
        <v>1883.2400000000002</v>
      </c>
      <c r="U89" s="94">
        <f t="shared" si="11"/>
        <v>1892.2400000000002</v>
      </c>
      <c r="V89" s="94">
        <f t="shared" si="11"/>
        <v>1923.94</v>
      </c>
      <c r="W89" s="94">
        <f t="shared" si="11"/>
        <v>1923.4399999999998</v>
      </c>
      <c r="X89" s="94">
        <f t="shared" si="11"/>
        <v>1925.2399999999998</v>
      </c>
      <c r="Y89" s="94">
        <f t="shared" si="11"/>
        <v>1925.2399999999998</v>
      </c>
      <c r="Z89" s="94">
        <f t="shared" si="11"/>
        <v>2033.04</v>
      </c>
      <c r="AA89" s="94">
        <f t="shared" si="11"/>
        <v>2040.04</v>
      </c>
      <c r="AB89" s="94">
        <f>AB50+AB54+AB72+AB68+AB84+AB88</f>
        <v>1993.7400000000002</v>
      </c>
      <c r="AC89" s="94">
        <f t="shared" si="11"/>
        <v>1993.7400000000002</v>
      </c>
      <c r="AD89" s="94">
        <f t="shared" si="11"/>
        <v>1993.7400000000002</v>
      </c>
      <c r="AE89" s="94">
        <f t="shared" si="11"/>
        <v>1873.74</v>
      </c>
      <c r="AF89" s="94">
        <f t="shared" si="11"/>
        <v>1863.74</v>
      </c>
      <c r="AG89" s="61">
        <f t="shared" si="11"/>
        <v>2111.5500000000002</v>
      </c>
      <c r="AH89" s="47">
        <f t="shared" si="8"/>
        <v>2040.04</v>
      </c>
      <c r="AI89" s="48">
        <f t="shared" si="9"/>
        <v>1835.3400000000001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1872.8400000000001</v>
      </c>
      <c r="C91" s="94">
        <f t="shared" si="12"/>
        <v>1869.3400000000001</v>
      </c>
      <c r="D91" s="94">
        <f t="shared" si="12"/>
        <v>1835.3400000000001</v>
      </c>
      <c r="E91" s="94">
        <f t="shared" si="12"/>
        <v>1835.3400000000001</v>
      </c>
      <c r="F91" s="94">
        <f t="shared" si="12"/>
        <v>1835.3400000000001</v>
      </c>
      <c r="G91" s="94">
        <f t="shared" si="12"/>
        <v>1901.14</v>
      </c>
      <c r="H91" s="94">
        <f t="shared" si="12"/>
        <v>1895.8400000000001</v>
      </c>
      <c r="I91" s="94">
        <f t="shared" si="12"/>
        <v>1911.8400000000001</v>
      </c>
      <c r="J91" s="94">
        <f t="shared" si="12"/>
        <v>1923.8400000000001</v>
      </c>
      <c r="K91" s="94">
        <f t="shared" si="12"/>
        <v>1972.8400000000001</v>
      </c>
      <c r="L91" s="94">
        <f t="shared" si="12"/>
        <v>1928.3000000000002</v>
      </c>
      <c r="M91" s="94">
        <f t="shared" si="12"/>
        <v>1912.74</v>
      </c>
      <c r="N91" s="94">
        <f t="shared" si="12"/>
        <v>1888.74</v>
      </c>
      <c r="O91" s="94">
        <f t="shared" si="12"/>
        <v>1884.6399999999999</v>
      </c>
      <c r="P91" s="94">
        <f t="shared" si="12"/>
        <v>1902.44</v>
      </c>
      <c r="Q91" s="94">
        <f t="shared" si="12"/>
        <v>1882.2400000000002</v>
      </c>
      <c r="R91" s="94">
        <f t="shared" si="12"/>
        <v>1875.3400000000001</v>
      </c>
      <c r="S91" s="94">
        <f t="shared" si="12"/>
        <v>1874.44</v>
      </c>
      <c r="T91" s="94">
        <f t="shared" si="12"/>
        <v>1883.2400000000002</v>
      </c>
      <c r="U91" s="94">
        <f t="shared" si="12"/>
        <v>1892.2400000000002</v>
      </c>
      <c r="V91" s="94">
        <f t="shared" si="12"/>
        <v>1923.94</v>
      </c>
      <c r="W91" s="94">
        <f t="shared" si="12"/>
        <v>1923.4399999999998</v>
      </c>
      <c r="X91" s="94">
        <f t="shared" si="12"/>
        <v>1925.2399999999998</v>
      </c>
      <c r="Y91" s="94">
        <f t="shared" si="12"/>
        <v>1925.2399999999998</v>
      </c>
      <c r="Z91" s="94">
        <f t="shared" si="12"/>
        <v>2033.04</v>
      </c>
      <c r="AA91" s="94">
        <f t="shared" si="12"/>
        <v>2040.04</v>
      </c>
      <c r="AB91" s="94">
        <f>AB89+AB90</f>
        <v>1993.7400000000002</v>
      </c>
      <c r="AC91" s="94">
        <f t="shared" si="12"/>
        <v>1993.7400000000002</v>
      </c>
      <c r="AD91" s="94">
        <f t="shared" si="12"/>
        <v>1993.7400000000002</v>
      </c>
      <c r="AE91" s="94">
        <f t="shared" si="12"/>
        <v>1873.74</v>
      </c>
      <c r="AF91" s="94">
        <f t="shared" si="12"/>
        <v>1863.74</v>
      </c>
      <c r="AG91" s="87">
        <f>AG88+AG84+AG72+AG68+AG50+AG90</f>
        <v>1573.45</v>
      </c>
      <c r="AH91" s="47">
        <f t="shared" si="8"/>
        <v>2040.04</v>
      </c>
      <c r="AI91" s="48">
        <f t="shared" si="9"/>
        <v>1835.3400000000001</v>
      </c>
    </row>
    <row r="92" spans="1:40" ht="15.75" thickBot="1" x14ac:dyDescent="0.3">
      <c r="A92" s="73" t="s">
        <v>103</v>
      </c>
      <c r="B92" s="94">
        <f t="shared" ref="B92:AF92" si="13">B91-B99</f>
        <v>1872.8400000000001</v>
      </c>
      <c r="C92" s="94">
        <f t="shared" si="13"/>
        <v>1869.3400000000001</v>
      </c>
      <c r="D92" s="94">
        <f t="shared" si="13"/>
        <v>1835.3400000000001</v>
      </c>
      <c r="E92" s="94">
        <f t="shared" si="13"/>
        <v>1835.3400000000001</v>
      </c>
      <c r="F92" s="94">
        <f t="shared" si="13"/>
        <v>1835.3400000000001</v>
      </c>
      <c r="G92" s="94">
        <f t="shared" si="13"/>
        <v>1901.14</v>
      </c>
      <c r="H92" s="94">
        <f t="shared" si="13"/>
        <v>1895.8400000000001</v>
      </c>
      <c r="I92" s="94">
        <f t="shared" si="13"/>
        <v>1911.8400000000001</v>
      </c>
      <c r="J92" s="94">
        <f t="shared" si="13"/>
        <v>1923.8400000000001</v>
      </c>
      <c r="K92" s="94">
        <f t="shared" si="13"/>
        <v>1972.8400000000001</v>
      </c>
      <c r="L92" s="94">
        <f t="shared" si="13"/>
        <v>1928.3000000000002</v>
      </c>
      <c r="M92" s="94">
        <f t="shared" si="13"/>
        <v>1912.74</v>
      </c>
      <c r="N92" s="94">
        <f t="shared" si="13"/>
        <v>1888.74</v>
      </c>
      <c r="O92" s="94">
        <f t="shared" si="13"/>
        <v>1884.6399999999999</v>
      </c>
      <c r="P92" s="94">
        <f t="shared" si="13"/>
        <v>1902.44</v>
      </c>
      <c r="Q92" s="94">
        <f t="shared" si="13"/>
        <v>1882.2400000000002</v>
      </c>
      <c r="R92" s="94">
        <f t="shared" si="13"/>
        <v>1875.3400000000001</v>
      </c>
      <c r="S92" s="94">
        <f t="shared" si="13"/>
        <v>1874.44</v>
      </c>
      <c r="T92" s="94">
        <f t="shared" si="13"/>
        <v>1883.2400000000002</v>
      </c>
      <c r="U92" s="94">
        <f t="shared" si="13"/>
        <v>1892.2400000000002</v>
      </c>
      <c r="V92" s="94">
        <f t="shared" si="13"/>
        <v>1923.94</v>
      </c>
      <c r="W92" s="94">
        <f t="shared" si="13"/>
        <v>1923.4399999999998</v>
      </c>
      <c r="X92" s="94">
        <f t="shared" si="13"/>
        <v>1925.2399999999998</v>
      </c>
      <c r="Y92" s="94">
        <f t="shared" si="13"/>
        <v>1925.2399999999998</v>
      </c>
      <c r="Z92" s="94">
        <f t="shared" si="13"/>
        <v>2033.04</v>
      </c>
      <c r="AA92" s="94">
        <f t="shared" si="13"/>
        <v>2040.04</v>
      </c>
      <c r="AB92" s="94">
        <f>AB91-AB99</f>
        <v>1993.7400000000002</v>
      </c>
      <c r="AC92" s="94">
        <f t="shared" si="13"/>
        <v>1993.7400000000002</v>
      </c>
      <c r="AD92" s="94">
        <f t="shared" si="13"/>
        <v>1993.7400000000002</v>
      </c>
      <c r="AE92" s="94">
        <f t="shared" si="13"/>
        <v>1873.74</v>
      </c>
      <c r="AF92" s="94">
        <f t="shared" si="13"/>
        <v>1863.74</v>
      </c>
      <c r="AG92" s="87"/>
      <c r="AH92" s="47">
        <f t="shared" si="8"/>
        <v>2040.04</v>
      </c>
      <c r="AI92" s="48">
        <f t="shared" si="9"/>
        <v>1835.3400000000001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 t="shared" ref="B100:AF100" si="14">B84-B99</f>
        <v>0</v>
      </c>
      <c r="C100" s="60">
        <f t="shared" si="14"/>
        <v>0</v>
      </c>
      <c r="D100" s="60">
        <f t="shared" si="14"/>
        <v>0</v>
      </c>
      <c r="E100" s="60">
        <f t="shared" si="14"/>
        <v>0</v>
      </c>
      <c r="F100" s="60">
        <f t="shared" si="14"/>
        <v>0</v>
      </c>
      <c r="G100" s="60">
        <f t="shared" si="14"/>
        <v>6.3</v>
      </c>
      <c r="H100" s="60">
        <f t="shared" si="14"/>
        <v>0</v>
      </c>
      <c r="I100" s="60">
        <f t="shared" si="14"/>
        <v>0</v>
      </c>
      <c r="J100" s="60">
        <f t="shared" si="14"/>
        <v>0</v>
      </c>
      <c r="K100" s="60">
        <f t="shared" si="14"/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0</v>
      </c>
      <c r="P100" s="60">
        <f t="shared" si="14"/>
        <v>0</v>
      </c>
      <c r="Q100" s="60">
        <f t="shared" si="14"/>
        <v>0</v>
      </c>
      <c r="R100" s="60">
        <f t="shared" si="14"/>
        <v>0</v>
      </c>
      <c r="S100" s="60">
        <f t="shared" si="14"/>
        <v>0</v>
      </c>
      <c r="T100" s="60">
        <f t="shared" si="14"/>
        <v>0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0</v>
      </c>
      <c r="Y100" s="60">
        <f t="shared" si="14"/>
        <v>0</v>
      </c>
      <c r="Z100" s="60">
        <f t="shared" si="14"/>
        <v>0</v>
      </c>
      <c r="AA100" s="60">
        <f t="shared" si="14"/>
        <v>0</v>
      </c>
      <c r="AB100" s="60">
        <f>AB84-AB99</f>
        <v>0</v>
      </c>
      <c r="AC100" s="60">
        <f t="shared" si="14"/>
        <v>0</v>
      </c>
      <c r="AD100" s="60">
        <f t="shared" si="14"/>
        <v>0</v>
      </c>
      <c r="AE100" s="60">
        <f t="shared" si="14"/>
        <v>0</v>
      </c>
      <c r="AF100" s="60">
        <f t="shared" si="14"/>
        <v>0</v>
      </c>
      <c r="AG100" s="87"/>
      <c r="AH100" s="47">
        <f t="shared" si="8"/>
        <v>6.3</v>
      </c>
      <c r="AI100" s="48">
        <f t="shared" si="9"/>
        <v>0</v>
      </c>
    </row>
    <row r="101" spans="1:37" x14ac:dyDescent="0.25">
      <c r="A101" s="99" t="s">
        <v>109</v>
      </c>
      <c r="B101" s="100">
        <v>49.896000000000001</v>
      </c>
      <c r="C101" s="100">
        <v>49.95</v>
      </c>
      <c r="D101" s="100">
        <v>49.999000000000002</v>
      </c>
      <c r="E101" s="100">
        <v>49.999000000000002</v>
      </c>
      <c r="F101" s="100">
        <v>49.999000000000002</v>
      </c>
      <c r="G101" s="100">
        <v>49.999000000000002</v>
      </c>
      <c r="H101" s="100">
        <v>49.999000000000002</v>
      </c>
      <c r="I101" s="100"/>
      <c r="J101" s="100">
        <v>49.789000000000001</v>
      </c>
      <c r="K101" s="100">
        <v>50.001399999999997</v>
      </c>
      <c r="L101" s="100">
        <v>50.011000000000003</v>
      </c>
      <c r="M101" s="100">
        <v>50.05</v>
      </c>
      <c r="N101" s="100">
        <v>50.051000000000002</v>
      </c>
      <c r="O101" s="100">
        <v>50.094999999999999</v>
      </c>
      <c r="P101" s="100">
        <v>50.045999999999999</v>
      </c>
      <c r="Q101" s="100">
        <v>50.01</v>
      </c>
      <c r="R101" s="100">
        <v>49.970999999999997</v>
      </c>
      <c r="S101" s="100">
        <v>49.975999999999999</v>
      </c>
      <c r="T101" s="100">
        <v>50.017000000000003</v>
      </c>
      <c r="U101" s="100">
        <v>50.064999999999998</v>
      </c>
      <c r="V101" s="100">
        <v>49.975999999999999</v>
      </c>
      <c r="W101" s="100">
        <v>50.018000000000001</v>
      </c>
      <c r="X101" s="100">
        <v>49.893000000000001</v>
      </c>
      <c r="Y101" s="100">
        <v>49.893000000000001</v>
      </c>
      <c r="Z101" s="100">
        <v>49.899000000000001</v>
      </c>
      <c r="AA101" s="100">
        <v>49.987000000000002</v>
      </c>
      <c r="AB101" s="100">
        <v>49.987000000000002</v>
      </c>
      <c r="AC101" s="100">
        <v>49.92</v>
      </c>
      <c r="AD101" s="100">
        <v>49.97</v>
      </c>
      <c r="AE101" s="100">
        <v>49.99</v>
      </c>
      <c r="AF101" s="100">
        <v>49.945999999999998</v>
      </c>
      <c r="AG101" s="101"/>
      <c r="AH101" s="47">
        <f t="shared" si="8"/>
        <v>50.094999999999999</v>
      </c>
      <c r="AI101" s="48">
        <f t="shared" si="9"/>
        <v>49.789000000000001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130.5</v>
      </c>
      <c r="C103" s="64">
        <v>131.1</v>
      </c>
      <c r="D103" s="64">
        <v>132.30000000000001</v>
      </c>
      <c r="E103" s="64">
        <v>132.30000000000001</v>
      </c>
      <c r="F103" s="64">
        <v>132.30000000000001</v>
      </c>
      <c r="G103" s="64">
        <v>132.30000000000001</v>
      </c>
      <c r="H103" s="64">
        <v>132.30000000000001</v>
      </c>
      <c r="I103" s="64">
        <v>128.1</v>
      </c>
      <c r="J103" s="64">
        <v>127.9</v>
      </c>
      <c r="K103" s="64">
        <v>127.9</v>
      </c>
      <c r="L103" s="64">
        <v>128.19999999999999</v>
      </c>
      <c r="M103" s="64">
        <v>128.19999999999999</v>
      </c>
      <c r="N103" s="64">
        <v>128.19999999999999</v>
      </c>
      <c r="O103" s="64">
        <v>127.7</v>
      </c>
      <c r="P103" s="64">
        <v>128.4</v>
      </c>
      <c r="Q103" s="64">
        <v>127.6</v>
      </c>
      <c r="R103" s="64">
        <v>128.4</v>
      </c>
      <c r="S103" s="64">
        <v>127.2</v>
      </c>
      <c r="T103" s="64">
        <v>127.8</v>
      </c>
      <c r="U103" s="64">
        <v>128</v>
      </c>
      <c r="V103" s="64">
        <v>127.7</v>
      </c>
      <c r="W103" s="64">
        <v>129</v>
      </c>
      <c r="X103" s="64">
        <v>129.80000000000001</v>
      </c>
      <c r="Y103" s="64">
        <v>129.80000000000001</v>
      </c>
      <c r="Z103" s="64">
        <v>127.3</v>
      </c>
      <c r="AA103" s="64">
        <v>128.30000000000001</v>
      </c>
      <c r="AB103" s="64">
        <v>128.5</v>
      </c>
      <c r="AC103" s="64">
        <v>129</v>
      </c>
      <c r="AD103" s="64">
        <v>129</v>
      </c>
      <c r="AE103" s="64">
        <v>130.5</v>
      </c>
      <c r="AF103" s="64">
        <v>130.5</v>
      </c>
      <c r="AG103" s="103"/>
      <c r="AH103" s="47">
        <f t="shared" si="8"/>
        <v>132.30000000000001</v>
      </c>
      <c r="AI103" s="48">
        <f t="shared" si="9"/>
        <v>127.2</v>
      </c>
    </row>
    <row r="104" spans="1:37" x14ac:dyDescent="0.25">
      <c r="A104" s="102" t="s">
        <v>112</v>
      </c>
      <c r="B104" s="64">
        <v>129.30000000000001</v>
      </c>
      <c r="C104" s="64">
        <v>127.4</v>
      </c>
      <c r="D104" s="64">
        <v>127.8</v>
      </c>
      <c r="E104" s="64">
        <v>127.8</v>
      </c>
      <c r="F104" s="64">
        <v>127.8</v>
      </c>
      <c r="G104" s="64">
        <v>127.8</v>
      </c>
      <c r="H104" s="64">
        <v>127.8</v>
      </c>
      <c r="I104" s="64">
        <v>129.69999999999999</v>
      </c>
      <c r="J104" s="64">
        <v>128</v>
      </c>
      <c r="K104" s="64">
        <v>128</v>
      </c>
      <c r="L104" s="64">
        <v>130.69999999999999</v>
      </c>
      <c r="M104" s="64">
        <v>126.5</v>
      </c>
      <c r="N104" s="64">
        <v>127.4</v>
      </c>
      <c r="O104" s="64">
        <v>128.30000000000001</v>
      </c>
      <c r="P104" s="64">
        <v>129.69999999999999</v>
      </c>
      <c r="Q104" s="64">
        <v>131.6</v>
      </c>
      <c r="R104" s="64">
        <v>129.30000000000001</v>
      </c>
      <c r="S104" s="64">
        <v>128.30000000000001</v>
      </c>
      <c r="T104" s="64">
        <v>128.69999999999999</v>
      </c>
      <c r="U104" s="64">
        <v>129.6</v>
      </c>
      <c r="V104" s="64">
        <v>130.69999999999999</v>
      </c>
      <c r="W104" s="64">
        <v>130.5</v>
      </c>
      <c r="X104" s="64">
        <v>131.5</v>
      </c>
      <c r="Y104" s="64">
        <v>131.5</v>
      </c>
      <c r="Z104" s="64">
        <v>126.5</v>
      </c>
      <c r="AA104" s="64">
        <v>128.5</v>
      </c>
      <c r="AB104" s="64">
        <v>128.80000000000001</v>
      </c>
      <c r="AC104" s="64">
        <v>129.69999999999999</v>
      </c>
      <c r="AD104" s="64">
        <v>129.69999999999999</v>
      </c>
      <c r="AE104" s="64">
        <v>129.4</v>
      </c>
      <c r="AF104" s="64">
        <v>129.4</v>
      </c>
      <c r="AG104" s="103"/>
      <c r="AH104" s="47">
        <f t="shared" si="8"/>
        <v>131.6</v>
      </c>
      <c r="AI104" s="48">
        <f t="shared" si="9"/>
        <v>126.5</v>
      </c>
    </row>
    <row r="105" spans="1:37" x14ac:dyDescent="0.25">
      <c r="A105" s="104" t="s">
        <v>113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>
        <v>133.5</v>
      </c>
      <c r="X105" s="64">
        <v>133.80000000000001</v>
      </c>
      <c r="Y105" s="64">
        <v>133.80000000000001</v>
      </c>
      <c r="Z105" s="64">
        <v>128.69999999999999</v>
      </c>
      <c r="AA105" s="64">
        <v>130.6</v>
      </c>
      <c r="AB105" s="64">
        <v>131.4</v>
      </c>
      <c r="AC105" s="64">
        <v>133</v>
      </c>
      <c r="AD105" s="64">
        <v>133</v>
      </c>
      <c r="AE105" s="64">
        <v>133</v>
      </c>
      <c r="AF105" s="64">
        <v>133</v>
      </c>
      <c r="AG105" s="103"/>
      <c r="AH105" s="47">
        <f t="shared" si="8"/>
        <v>133.80000000000001</v>
      </c>
      <c r="AI105" s="48">
        <f t="shared" si="9"/>
        <v>128.69999999999999</v>
      </c>
    </row>
    <row r="106" spans="1:37" x14ac:dyDescent="0.25">
      <c r="A106" s="104" t="s">
        <v>114</v>
      </c>
      <c r="B106" s="105">
        <v>130.6</v>
      </c>
      <c r="C106" s="105">
        <v>129.4</v>
      </c>
      <c r="D106" s="105">
        <v>134.6</v>
      </c>
      <c r="E106" s="105">
        <v>134.6</v>
      </c>
      <c r="F106" s="105">
        <v>134.6</v>
      </c>
      <c r="G106" s="105">
        <v>134.6</v>
      </c>
      <c r="H106" s="105">
        <v>134.6</v>
      </c>
      <c r="I106" s="105">
        <v>130.4</v>
      </c>
      <c r="J106" s="105">
        <v>130.4</v>
      </c>
      <c r="K106" s="105">
        <v>130.4</v>
      </c>
      <c r="L106" s="105">
        <v>132.1</v>
      </c>
      <c r="M106" s="105">
        <v>131.5</v>
      </c>
      <c r="N106" s="105">
        <v>133.1</v>
      </c>
      <c r="O106" s="105">
        <v>133</v>
      </c>
      <c r="P106" s="105">
        <v>134</v>
      </c>
      <c r="Q106" s="105">
        <v>132.4</v>
      </c>
      <c r="R106" s="105">
        <v>132.69999999999999</v>
      </c>
      <c r="S106" s="105">
        <v>132.69999999999999</v>
      </c>
      <c r="T106" s="105">
        <v>133.6</v>
      </c>
      <c r="U106" s="105">
        <v>132.4</v>
      </c>
      <c r="V106" s="105">
        <v>132</v>
      </c>
      <c r="W106" s="105">
        <v>132.69999999999999</v>
      </c>
      <c r="X106" s="105">
        <v>133.80000000000001</v>
      </c>
      <c r="Y106" s="105">
        <v>133.80000000000001</v>
      </c>
      <c r="Z106" s="105">
        <v>134.30000000000001</v>
      </c>
      <c r="AA106" s="105">
        <v>131.6</v>
      </c>
      <c r="AB106" s="105">
        <v>131.9</v>
      </c>
      <c r="AC106" s="105">
        <v>133</v>
      </c>
      <c r="AD106" s="105">
        <v>133</v>
      </c>
      <c r="AE106" s="105">
        <v>133</v>
      </c>
      <c r="AF106" s="105">
        <v>133</v>
      </c>
      <c r="AG106" s="106"/>
      <c r="AH106" s="47">
        <f t="shared" si="8"/>
        <v>134.6</v>
      </c>
      <c r="AI106" s="48">
        <f t="shared" si="9"/>
        <v>129.4</v>
      </c>
    </row>
    <row r="107" spans="1:37" x14ac:dyDescent="0.25">
      <c r="A107" s="102" t="s">
        <v>115</v>
      </c>
      <c r="B107" s="64">
        <v>134.6</v>
      </c>
      <c r="C107" s="64">
        <v>136.80000000000001</v>
      </c>
      <c r="D107" s="64">
        <v>133.5</v>
      </c>
      <c r="E107" s="64">
        <v>133.5</v>
      </c>
      <c r="F107" s="64">
        <v>133.5</v>
      </c>
      <c r="G107" s="64">
        <v>133.5</v>
      </c>
      <c r="H107" s="64">
        <v>133.5</v>
      </c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103"/>
      <c r="AH107" s="47">
        <f t="shared" si="8"/>
        <v>136.80000000000001</v>
      </c>
      <c r="AI107" s="48">
        <f t="shared" si="9"/>
        <v>133.5</v>
      </c>
    </row>
    <row r="108" spans="1:37" ht="15.75" thickBot="1" x14ac:dyDescent="0.3">
      <c r="A108" s="102" t="s">
        <v>116</v>
      </c>
      <c r="B108" s="91">
        <v>65.5</v>
      </c>
      <c r="C108" s="91">
        <v>65.8</v>
      </c>
      <c r="D108" s="91">
        <v>65.8</v>
      </c>
      <c r="E108" s="91">
        <v>65.8</v>
      </c>
      <c r="F108" s="91">
        <v>65.8</v>
      </c>
      <c r="G108" s="91">
        <v>65.8</v>
      </c>
      <c r="H108" s="91">
        <v>65.8</v>
      </c>
      <c r="I108" s="91">
        <v>63.9</v>
      </c>
      <c r="J108" s="91">
        <v>63.9</v>
      </c>
      <c r="K108" s="91">
        <v>63.9</v>
      </c>
      <c r="L108" s="91">
        <v>64.400000000000006</v>
      </c>
      <c r="M108" s="91">
        <v>64.400000000000006</v>
      </c>
      <c r="N108" s="91">
        <v>63.5</v>
      </c>
      <c r="O108" s="91">
        <v>63.8</v>
      </c>
      <c r="P108" s="91">
        <v>64.5</v>
      </c>
      <c r="Q108" s="91">
        <v>63.8</v>
      </c>
      <c r="R108" s="91">
        <v>64.2</v>
      </c>
      <c r="S108" s="91">
        <v>63.4</v>
      </c>
      <c r="T108" s="91">
        <v>63.6</v>
      </c>
      <c r="U108" s="91">
        <v>64.099999999999994</v>
      </c>
      <c r="V108" s="91">
        <v>64</v>
      </c>
      <c r="W108" s="91">
        <v>64.8</v>
      </c>
      <c r="X108" s="91">
        <v>65.099999999999994</v>
      </c>
      <c r="Y108" s="91">
        <v>65.099999999999994</v>
      </c>
      <c r="Z108" s="91">
        <v>63.7</v>
      </c>
      <c r="AA108" s="91">
        <v>64.599999999999994</v>
      </c>
      <c r="AB108" s="91">
        <v>64.400000000000006</v>
      </c>
      <c r="AC108" s="91">
        <v>64.900000000000006</v>
      </c>
      <c r="AD108" s="91">
        <v>64.900000000000006</v>
      </c>
      <c r="AE108" s="91">
        <v>65.7</v>
      </c>
      <c r="AF108" s="91">
        <v>65.599999999999994</v>
      </c>
      <c r="AG108" s="107"/>
      <c r="AH108" s="47">
        <f t="shared" si="8"/>
        <v>65.8</v>
      </c>
      <c r="AI108" s="48">
        <f t="shared" si="9"/>
        <v>63.4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5">SUM(B20,B26,B29:B30,B58,B60:B61,B63,B65,B111:B115,B138,B144,B150,B159,B161,B173,B180,B183:B184,B191,B193,B195,B199:B201,B203:B205,B210,B216:B217,B219:B221,B229,B234)</f>
        <v>52.8</v>
      </c>
      <c r="C110" s="110">
        <f t="shared" si="15"/>
        <v>48.14</v>
      </c>
      <c r="D110" s="110">
        <f t="shared" si="15"/>
        <v>64.839999999999989</v>
      </c>
      <c r="E110" s="110">
        <f t="shared" si="15"/>
        <v>64.839999999999989</v>
      </c>
      <c r="F110" s="110">
        <f t="shared" si="15"/>
        <v>64.839999999999989</v>
      </c>
      <c r="G110" s="110">
        <f t="shared" si="15"/>
        <v>150.64000000000001</v>
      </c>
      <c r="H110" s="110">
        <f t="shared" si="15"/>
        <v>150.64000000000001</v>
      </c>
      <c r="I110" s="110">
        <f t="shared" si="15"/>
        <v>150.64000000000001</v>
      </c>
      <c r="J110" s="110">
        <f t="shared" si="15"/>
        <v>155.64000000000001</v>
      </c>
      <c r="K110" s="110">
        <f t="shared" si="15"/>
        <v>186.93999999999997</v>
      </c>
      <c r="L110" s="110">
        <f t="shared" si="15"/>
        <v>207.93999999999997</v>
      </c>
      <c r="M110" s="110">
        <f t="shared" si="15"/>
        <v>206.04000000000002</v>
      </c>
      <c r="N110" s="110">
        <f t="shared" si="15"/>
        <v>201.53999999999996</v>
      </c>
      <c r="O110" s="110">
        <f t="shared" si="15"/>
        <v>198.93999999999997</v>
      </c>
      <c r="P110" s="110">
        <v>42</v>
      </c>
      <c r="Q110" s="110">
        <f t="shared" ref="Q110:AF110" si="16">SUM(Q20,Q26,Q29:Q30,Q58,Q60:Q61,Q63,Q65,Q111:Q115,Q138,Q144,Q150,Q159,Q161,Q173,Q180,Q183:Q184,Q191,Q193,Q195,Q199:Q201,Q203:Q205,Q210,Q216:Q217,Q219:Q221,Q229,Q234)</f>
        <v>217.80000000000004</v>
      </c>
      <c r="R110" s="110">
        <f t="shared" si="16"/>
        <v>214.20000000000002</v>
      </c>
      <c r="S110" s="110">
        <f t="shared" si="16"/>
        <v>203.29999999999998</v>
      </c>
      <c r="T110" s="110">
        <f t="shared" si="16"/>
        <v>211.6</v>
      </c>
      <c r="U110" s="110">
        <f t="shared" si="16"/>
        <v>204.89999999999998</v>
      </c>
      <c r="V110" s="110">
        <f t="shared" si="16"/>
        <v>199.70000000000002</v>
      </c>
      <c r="W110" s="110">
        <f t="shared" si="16"/>
        <v>198.5</v>
      </c>
      <c r="X110" s="110">
        <f t="shared" si="16"/>
        <v>219.79999999999998</v>
      </c>
      <c r="Y110" s="110">
        <f t="shared" si="16"/>
        <v>219.79999999999998</v>
      </c>
      <c r="Z110" s="110">
        <f t="shared" si="16"/>
        <v>261.5</v>
      </c>
      <c r="AA110" s="110">
        <f t="shared" si="16"/>
        <v>257</v>
      </c>
      <c r="AB110" s="110">
        <f>SUM(AB20,AB26,AB29:AB30,AB58,AB60:AB61,AB63,AB65,AB111:AB115,AB138,AB144,AB150,AB159,AB161,AB173,AB180,AB183:AB184,AB191,AB193,AB195,AB199:AB201,AB203:AB205,AB210,AB216:AB217,AB219:AB221,AB229,AB234)</f>
        <v>209.1</v>
      </c>
      <c r="AC110" s="110">
        <f t="shared" si="16"/>
        <v>183.39999999999998</v>
      </c>
      <c r="AD110" s="110"/>
      <c r="AE110" s="110">
        <f t="shared" si="16"/>
        <v>76.399999999999977</v>
      </c>
      <c r="AF110" s="110">
        <f t="shared" si="16"/>
        <v>60.399999999999977</v>
      </c>
      <c r="AG110" s="111"/>
      <c r="AH110" s="47">
        <f t="shared" si="8"/>
        <v>261.5</v>
      </c>
      <c r="AI110" s="48">
        <f t="shared" si="9"/>
        <v>42</v>
      </c>
    </row>
    <row r="111" spans="1:37" x14ac:dyDescent="0.25">
      <c r="A111" s="99" t="s">
        <v>119</v>
      </c>
      <c r="B111" s="112">
        <v>4.0999999999999996</v>
      </c>
      <c r="C111" s="112">
        <v>1.5</v>
      </c>
      <c r="D111" s="112">
        <v>0</v>
      </c>
      <c r="E111" s="112">
        <v>0</v>
      </c>
      <c r="F111" s="112">
        <v>0</v>
      </c>
      <c r="G111" s="112">
        <v>27.5</v>
      </c>
      <c r="H111" s="112">
        <v>27.5</v>
      </c>
      <c r="I111" s="112">
        <v>27.5</v>
      </c>
      <c r="J111" s="112">
        <v>27.5</v>
      </c>
      <c r="K111" s="112">
        <v>37.799999999999997</v>
      </c>
      <c r="L111" s="112">
        <v>37.6</v>
      </c>
      <c r="M111" s="112">
        <v>39.700000000000003</v>
      </c>
      <c r="N111" s="112">
        <v>34.6</v>
      </c>
      <c r="O111" s="112">
        <v>38.9</v>
      </c>
      <c r="P111" s="112">
        <v>37.799999999999997</v>
      </c>
      <c r="Q111" s="112">
        <v>41.7</v>
      </c>
      <c r="R111" s="112">
        <v>41.3</v>
      </c>
      <c r="S111" s="112">
        <v>40.299999999999997</v>
      </c>
      <c r="T111" s="112">
        <v>43.6</v>
      </c>
      <c r="U111" s="112">
        <v>38</v>
      </c>
      <c r="V111" s="112">
        <v>43.7</v>
      </c>
      <c r="W111" s="112">
        <v>39.700000000000003</v>
      </c>
      <c r="X111" s="112">
        <v>42.1</v>
      </c>
      <c r="Y111" s="112">
        <v>42.1</v>
      </c>
      <c r="Z111" s="112">
        <v>52</v>
      </c>
      <c r="AA111" s="112">
        <v>41.9</v>
      </c>
      <c r="AB111" s="112">
        <v>40</v>
      </c>
      <c r="AC111" s="112">
        <v>54</v>
      </c>
      <c r="AD111" s="112">
        <v>38</v>
      </c>
      <c r="AE111" s="112">
        <v>31</v>
      </c>
      <c r="AF111" s="112">
        <v>25</v>
      </c>
      <c r="AG111" s="113">
        <v>75</v>
      </c>
      <c r="AH111" s="47">
        <f t="shared" si="8"/>
        <v>54</v>
      </c>
      <c r="AI111" s="48">
        <f t="shared" si="9"/>
        <v>0</v>
      </c>
    </row>
    <row r="112" spans="1:37" x14ac:dyDescent="0.25">
      <c r="A112" s="102" t="s">
        <v>120</v>
      </c>
      <c r="B112" s="114">
        <v>4.4000000000000004</v>
      </c>
      <c r="C112" s="114">
        <v>1.2</v>
      </c>
      <c r="D112" s="114">
        <v>0.6</v>
      </c>
      <c r="E112" s="114">
        <v>0.6</v>
      </c>
      <c r="F112" s="114">
        <v>0.6</v>
      </c>
      <c r="G112" s="114">
        <v>39.700000000000003</v>
      </c>
      <c r="H112" s="114">
        <v>39.700000000000003</v>
      </c>
      <c r="I112" s="114">
        <v>39.700000000000003</v>
      </c>
      <c r="J112" s="114">
        <v>39.700000000000003</v>
      </c>
      <c r="K112" s="114">
        <v>56.4</v>
      </c>
      <c r="L112" s="114">
        <v>50.2</v>
      </c>
      <c r="M112" s="114">
        <v>51.8</v>
      </c>
      <c r="N112" s="114">
        <v>44.9</v>
      </c>
      <c r="O112" s="114">
        <v>49.3</v>
      </c>
      <c r="P112" s="114">
        <v>48.1</v>
      </c>
      <c r="Q112" s="114">
        <v>54.4</v>
      </c>
      <c r="R112" s="114">
        <v>53.9</v>
      </c>
      <c r="S112" s="114">
        <v>51.9</v>
      </c>
      <c r="T112" s="114">
        <v>54.6</v>
      </c>
      <c r="U112" s="114">
        <v>47</v>
      </c>
      <c r="V112" s="114">
        <v>55.1</v>
      </c>
      <c r="W112" s="114">
        <v>51.1</v>
      </c>
      <c r="X112" s="114">
        <v>53.8</v>
      </c>
      <c r="Y112" s="114">
        <v>53.8</v>
      </c>
      <c r="Z112" s="114">
        <v>71</v>
      </c>
      <c r="AA112" s="114">
        <v>56.4</v>
      </c>
      <c r="AB112" s="114">
        <v>54.1</v>
      </c>
      <c r="AC112" s="114">
        <v>40</v>
      </c>
      <c r="AD112" s="114">
        <v>53</v>
      </c>
      <c r="AE112" s="114">
        <v>42</v>
      </c>
      <c r="AF112" s="114">
        <v>36</v>
      </c>
      <c r="AG112" s="113">
        <v>240</v>
      </c>
      <c r="AH112" s="47">
        <f t="shared" si="8"/>
        <v>71</v>
      </c>
      <c r="AI112" s="48">
        <f t="shared" si="9"/>
        <v>0.6</v>
      </c>
    </row>
    <row r="113" spans="1:37" x14ac:dyDescent="0.25">
      <c r="A113" s="102" t="s">
        <v>121</v>
      </c>
      <c r="B113" s="114">
        <v>-94.3</v>
      </c>
      <c r="C113" s="114">
        <v>-94.3</v>
      </c>
      <c r="D113" s="114">
        <v>-93</v>
      </c>
      <c r="E113" s="114">
        <v>-93</v>
      </c>
      <c r="F113" s="114">
        <v>-93</v>
      </c>
      <c r="G113" s="114">
        <v>-80.7</v>
      </c>
      <c r="H113" s="114">
        <v>-80.7</v>
      </c>
      <c r="I113" s="114">
        <v>-80.7</v>
      </c>
      <c r="J113" s="114">
        <v>-80.7</v>
      </c>
      <c r="K113" s="114">
        <v>-85</v>
      </c>
      <c r="L113" s="114">
        <v>-48</v>
      </c>
      <c r="M113" s="114">
        <v>-48</v>
      </c>
      <c r="N113" s="114">
        <v>-40.9</v>
      </c>
      <c r="O113" s="114">
        <v>-39.5</v>
      </c>
      <c r="P113" s="114">
        <v>-41</v>
      </c>
      <c r="Q113" s="114">
        <v>-31.6</v>
      </c>
      <c r="R113" s="114">
        <v>-36.299999999999997</v>
      </c>
      <c r="S113" s="114">
        <v>-31</v>
      </c>
      <c r="T113" s="114">
        <v>-35</v>
      </c>
      <c r="U113" s="114">
        <v>-38</v>
      </c>
      <c r="V113" s="114">
        <v>-60.4</v>
      </c>
      <c r="W113" s="114">
        <v>-55</v>
      </c>
      <c r="X113" s="114">
        <v>-42.6</v>
      </c>
      <c r="Y113" s="114">
        <v>-42.6</v>
      </c>
      <c r="Z113" s="114">
        <v>-58</v>
      </c>
      <c r="AA113" s="114">
        <v>-38.5</v>
      </c>
      <c r="AB113" s="114">
        <v>-58.8</v>
      </c>
      <c r="AC113" s="114">
        <v>-77</v>
      </c>
      <c r="AD113" s="114">
        <v>-81</v>
      </c>
      <c r="AE113" s="114">
        <v>-114</v>
      </c>
      <c r="AF113" s="114">
        <v>-116</v>
      </c>
      <c r="AG113" s="113">
        <v>240</v>
      </c>
      <c r="AH113" s="47">
        <f t="shared" si="8"/>
        <v>-31</v>
      </c>
      <c r="AI113" s="48">
        <f t="shared" si="9"/>
        <v>-116</v>
      </c>
    </row>
    <row r="114" spans="1:37" x14ac:dyDescent="0.25">
      <c r="A114" s="102" t="s">
        <v>122</v>
      </c>
      <c r="B114" s="114">
        <v>-9.1999999999999993</v>
      </c>
      <c r="C114" s="114">
        <v>-9</v>
      </c>
      <c r="D114" s="114">
        <v>-10.6</v>
      </c>
      <c r="E114" s="114">
        <v>-10.6</v>
      </c>
      <c r="F114" s="114">
        <v>-10.6</v>
      </c>
      <c r="G114" s="114">
        <v>-2.2000000000000002</v>
      </c>
      <c r="H114" s="114">
        <v>-2.2000000000000002</v>
      </c>
      <c r="I114" s="114">
        <v>-2.2000000000000002</v>
      </c>
      <c r="J114" s="114">
        <v>-2.2000000000000002</v>
      </c>
      <c r="K114" s="114">
        <v>-4.3</v>
      </c>
      <c r="L114" s="114">
        <v>2</v>
      </c>
      <c r="M114" s="114">
        <v>1.1000000000000001</v>
      </c>
      <c r="N114" s="114">
        <v>9.6</v>
      </c>
      <c r="O114" s="114">
        <v>8.1</v>
      </c>
      <c r="P114" s="114">
        <v>8.1999999999999993</v>
      </c>
      <c r="Q114" s="114">
        <v>9.8000000000000007</v>
      </c>
      <c r="R114" s="114">
        <v>12.1</v>
      </c>
      <c r="S114" s="114">
        <v>10.199999999999999</v>
      </c>
      <c r="T114" s="114">
        <v>8</v>
      </c>
      <c r="U114" s="114">
        <v>9</v>
      </c>
      <c r="V114" s="114">
        <v>2.1</v>
      </c>
      <c r="W114" s="114">
        <v>3.3</v>
      </c>
      <c r="X114" s="114">
        <v>8</v>
      </c>
      <c r="Y114" s="114">
        <v>8</v>
      </c>
      <c r="Z114" s="114">
        <v>8</v>
      </c>
      <c r="AA114" s="114">
        <v>8.6999999999999993</v>
      </c>
      <c r="AB114" s="114">
        <v>3.9</v>
      </c>
      <c r="AC114" s="114">
        <v>-4</v>
      </c>
      <c r="AD114" s="114">
        <v>-4</v>
      </c>
      <c r="AE114" s="114">
        <v>-4</v>
      </c>
      <c r="AF114" s="114">
        <v>-6</v>
      </c>
      <c r="AG114" s="113">
        <v>60</v>
      </c>
      <c r="AH114" s="47">
        <f t="shared" si="8"/>
        <v>12.1</v>
      </c>
      <c r="AI114" s="48">
        <f t="shared" si="9"/>
        <v>-10.6</v>
      </c>
    </row>
    <row r="115" spans="1:37" x14ac:dyDescent="0.25">
      <c r="A115" s="115" t="s">
        <v>123</v>
      </c>
      <c r="B115" s="116">
        <v>32.200000000000003</v>
      </c>
      <c r="C115" s="116">
        <v>32.200000000000003</v>
      </c>
      <c r="D115" s="116">
        <v>32.299999999999997</v>
      </c>
      <c r="E115" s="116">
        <v>32.299999999999997</v>
      </c>
      <c r="F115" s="116">
        <v>32.299999999999997</v>
      </c>
      <c r="G115" s="116">
        <v>30.8</v>
      </c>
      <c r="H115" s="116">
        <v>30.8</v>
      </c>
      <c r="I115" s="116">
        <v>30.8</v>
      </c>
      <c r="J115" s="116">
        <v>30.8</v>
      </c>
      <c r="K115" s="116">
        <v>30.5</v>
      </c>
      <c r="L115" s="116">
        <v>25.6</v>
      </c>
      <c r="M115" s="116">
        <v>30.9</v>
      </c>
      <c r="N115" s="116">
        <v>27.2</v>
      </c>
      <c r="O115" s="116">
        <v>27.3</v>
      </c>
      <c r="P115" s="116">
        <v>20.399999999999999</v>
      </c>
      <c r="Q115" s="116">
        <v>27.3</v>
      </c>
      <c r="R115" s="116">
        <v>27</v>
      </c>
      <c r="S115" s="116">
        <v>27.3</v>
      </c>
      <c r="T115" s="116">
        <v>27</v>
      </c>
      <c r="U115" s="116">
        <v>27</v>
      </c>
      <c r="V115" s="116">
        <v>27.3</v>
      </c>
      <c r="W115" s="116">
        <v>27.9</v>
      </c>
      <c r="X115" s="116">
        <v>27</v>
      </c>
      <c r="Y115" s="116">
        <v>27</v>
      </c>
      <c r="Z115" s="116">
        <v>38</v>
      </c>
      <c r="AA115" s="116">
        <v>38</v>
      </c>
      <c r="AB115" s="116">
        <v>38.5</v>
      </c>
      <c r="AC115" s="116">
        <v>39</v>
      </c>
      <c r="AD115" s="116">
        <v>27</v>
      </c>
      <c r="AE115" s="116">
        <v>0</v>
      </c>
      <c r="AF115" s="116">
        <v>0</v>
      </c>
      <c r="AG115" s="117">
        <v>120</v>
      </c>
      <c r="AH115" s="47">
        <f t="shared" si="8"/>
        <v>39</v>
      </c>
      <c r="AI115" s="48">
        <f t="shared" si="9"/>
        <v>0</v>
      </c>
    </row>
    <row r="116" spans="1:37" x14ac:dyDescent="0.25">
      <c r="A116" s="115" t="s">
        <v>124</v>
      </c>
      <c r="B116" s="116">
        <v>82.5</v>
      </c>
      <c r="C116" s="116">
        <v>82.1</v>
      </c>
      <c r="D116" s="116">
        <v>75</v>
      </c>
      <c r="E116" s="116">
        <v>75</v>
      </c>
      <c r="F116" s="116">
        <v>75</v>
      </c>
      <c r="G116" s="116">
        <v>33.5</v>
      </c>
      <c r="H116" s="116">
        <v>33.5</v>
      </c>
      <c r="I116" s="116">
        <v>33.5</v>
      </c>
      <c r="J116" s="116">
        <v>33.5</v>
      </c>
      <c r="K116" s="116">
        <v>27.2</v>
      </c>
      <c r="L116" s="116">
        <v>65.8</v>
      </c>
      <c r="M116" s="116">
        <v>55.1</v>
      </c>
      <c r="N116" s="116">
        <v>78.099999999999994</v>
      </c>
      <c r="O116" s="116">
        <v>79.5</v>
      </c>
      <c r="P116" s="116">
        <v>75</v>
      </c>
      <c r="Q116" s="116">
        <v>65.3</v>
      </c>
      <c r="R116" s="116">
        <v>67.2</v>
      </c>
      <c r="S116" s="116">
        <v>80</v>
      </c>
      <c r="T116" s="116">
        <v>69</v>
      </c>
      <c r="U116" s="116">
        <v>71</v>
      </c>
      <c r="V116" s="116">
        <v>35.799999999999997</v>
      </c>
      <c r="W116" s="116">
        <v>35.299999999999997</v>
      </c>
      <c r="X116" s="116">
        <v>40</v>
      </c>
      <c r="Y116" s="116">
        <v>40</v>
      </c>
      <c r="Z116" s="116">
        <v>42</v>
      </c>
      <c r="AA116" s="116">
        <v>72.599999999999994</v>
      </c>
      <c r="AB116" s="116">
        <v>50.6</v>
      </c>
      <c r="AC116" s="116">
        <v>38</v>
      </c>
      <c r="AD116" s="116">
        <v>38</v>
      </c>
      <c r="AE116" s="116">
        <v>41</v>
      </c>
      <c r="AF116" s="116">
        <v>46</v>
      </c>
      <c r="AG116" s="117"/>
      <c r="AH116" s="47">
        <f t="shared" si="8"/>
        <v>82.5</v>
      </c>
      <c r="AI116" s="48">
        <f t="shared" si="9"/>
        <v>27.2</v>
      </c>
    </row>
    <row r="117" spans="1:37" x14ac:dyDescent="0.25">
      <c r="A117" s="115" t="s">
        <v>125</v>
      </c>
      <c r="B117" s="116">
        <v>4.0999999999999996</v>
      </c>
      <c r="C117" s="116">
        <v>14.4</v>
      </c>
      <c r="D117" s="116">
        <v>18.899999999999999</v>
      </c>
      <c r="E117" s="116">
        <v>18.899999999999999</v>
      </c>
      <c r="F117" s="116">
        <v>18.899999999999999</v>
      </c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>
        <v>-39</v>
      </c>
      <c r="V117" s="116">
        <v>-48.1</v>
      </c>
      <c r="W117" s="116">
        <v>-39.4</v>
      </c>
      <c r="X117" s="116">
        <v>-44</v>
      </c>
      <c r="Y117" s="116">
        <v>-44</v>
      </c>
      <c r="Z117" s="116">
        <v>-36</v>
      </c>
      <c r="AA117" s="116">
        <v>-27.4</v>
      </c>
      <c r="AB117" s="116">
        <v>-26.7</v>
      </c>
      <c r="AC117" s="116">
        <v>-34</v>
      </c>
      <c r="AD117" s="116">
        <v>-39</v>
      </c>
      <c r="AE117" s="116">
        <v>-25</v>
      </c>
      <c r="AF117" s="116">
        <v>-17</v>
      </c>
      <c r="AG117" s="118"/>
      <c r="AH117" s="47">
        <f t="shared" si="8"/>
        <v>18.899999999999999</v>
      </c>
      <c r="AI117" s="48">
        <f t="shared" si="9"/>
        <v>-48.1</v>
      </c>
    </row>
    <row r="118" spans="1:37" x14ac:dyDescent="0.25">
      <c r="A118" s="119" t="s">
        <v>126</v>
      </c>
      <c r="B118" s="105">
        <v>36.6</v>
      </c>
      <c r="C118" s="105">
        <v>127.1</v>
      </c>
      <c r="D118" s="105">
        <v>41.4</v>
      </c>
      <c r="E118" s="105">
        <v>41.4</v>
      </c>
      <c r="F118" s="105">
        <v>41.4</v>
      </c>
      <c r="G118" s="105">
        <v>44.4</v>
      </c>
      <c r="H118" s="105">
        <v>44.4</v>
      </c>
      <c r="I118" s="105">
        <v>44.4</v>
      </c>
      <c r="J118" s="105">
        <v>44.4</v>
      </c>
      <c r="K118" s="105">
        <v>37.299999999999997</v>
      </c>
      <c r="L118" s="105">
        <v>35.1</v>
      </c>
      <c r="M118" s="105">
        <v>30.5</v>
      </c>
      <c r="N118" s="105">
        <v>41.1</v>
      </c>
      <c r="O118" s="105">
        <v>45</v>
      </c>
      <c r="P118" s="105">
        <v>27.7</v>
      </c>
      <c r="Q118" s="105">
        <v>46.7</v>
      </c>
      <c r="R118" s="105">
        <v>44.1</v>
      </c>
      <c r="S118" s="105">
        <v>45</v>
      </c>
      <c r="T118" s="105">
        <v>33</v>
      </c>
      <c r="U118" s="105">
        <v>34</v>
      </c>
      <c r="V118" s="105">
        <v>38.1</v>
      </c>
      <c r="W118" s="105">
        <v>39.5</v>
      </c>
      <c r="X118" s="105">
        <v>37</v>
      </c>
      <c r="Y118" s="105">
        <v>37</v>
      </c>
      <c r="Z118" s="105">
        <v>24</v>
      </c>
      <c r="AA118" s="105">
        <v>24.2</v>
      </c>
      <c r="AB118" s="105">
        <v>26.9</v>
      </c>
      <c r="AC118" s="105">
        <v>29</v>
      </c>
      <c r="AD118" s="105">
        <v>29.5</v>
      </c>
      <c r="AE118" s="105">
        <v>37</v>
      </c>
      <c r="AF118" s="105">
        <v>43</v>
      </c>
      <c r="AG118" s="118"/>
      <c r="AH118" s="47">
        <f t="shared" si="8"/>
        <v>127.1</v>
      </c>
      <c r="AI118" s="48">
        <f t="shared" si="9"/>
        <v>24</v>
      </c>
    </row>
    <row r="119" spans="1:37" x14ac:dyDescent="0.25">
      <c r="A119" s="120" t="s">
        <v>127</v>
      </c>
      <c r="B119" s="105">
        <v>69.5</v>
      </c>
      <c r="C119" s="105">
        <v>63.3</v>
      </c>
      <c r="D119" s="105">
        <v>62.5</v>
      </c>
      <c r="E119" s="105">
        <v>62.5</v>
      </c>
      <c r="F119" s="105">
        <v>62.5</v>
      </c>
      <c r="G119" s="105">
        <v>89</v>
      </c>
      <c r="H119" s="105">
        <v>89</v>
      </c>
      <c r="I119" s="105">
        <v>89</v>
      </c>
      <c r="J119" s="105">
        <v>89</v>
      </c>
      <c r="K119" s="105">
        <v>84.8</v>
      </c>
      <c r="L119" s="105">
        <v>38.5</v>
      </c>
      <c r="M119" s="105">
        <v>96.9</v>
      </c>
      <c r="N119" s="105">
        <v>71.900000000000006</v>
      </c>
      <c r="O119" s="105">
        <v>79.3</v>
      </c>
      <c r="P119" s="105">
        <v>83.5</v>
      </c>
      <c r="Q119" s="105">
        <v>72</v>
      </c>
      <c r="R119" s="105">
        <v>44.1</v>
      </c>
      <c r="S119" s="105">
        <v>67</v>
      </c>
      <c r="T119" s="105">
        <v>76</v>
      </c>
      <c r="U119" s="105">
        <v>71</v>
      </c>
      <c r="V119" s="105">
        <v>69</v>
      </c>
      <c r="W119" s="105">
        <v>59.5</v>
      </c>
      <c r="X119" s="105">
        <v>52</v>
      </c>
      <c r="Y119" s="105">
        <v>52</v>
      </c>
      <c r="Z119" s="105">
        <v>67</v>
      </c>
      <c r="AA119" s="105">
        <v>44.7</v>
      </c>
      <c r="AB119" s="105">
        <v>59.9</v>
      </c>
      <c r="AC119" s="105">
        <v>77</v>
      </c>
      <c r="AD119" s="105">
        <v>79</v>
      </c>
      <c r="AE119" s="105">
        <v>85</v>
      </c>
      <c r="AF119" s="105">
        <v>84</v>
      </c>
      <c r="AG119" s="118"/>
      <c r="AH119" s="47">
        <f t="shared" si="8"/>
        <v>96.9</v>
      </c>
      <c r="AI119" s="48">
        <f t="shared" si="9"/>
        <v>38.5</v>
      </c>
    </row>
    <row r="120" spans="1:37" ht="15.75" thickBot="1" x14ac:dyDescent="0.3">
      <c r="A120" s="119" t="s">
        <v>128</v>
      </c>
      <c r="B120" s="105">
        <v>29.1</v>
      </c>
      <c r="C120" s="105">
        <v>25.1</v>
      </c>
      <c r="D120" s="105">
        <v>24.3</v>
      </c>
      <c r="E120" s="105">
        <v>24.3</v>
      </c>
      <c r="F120" s="105">
        <v>24.3</v>
      </c>
      <c r="G120" s="105">
        <v>-7.7</v>
      </c>
      <c r="H120" s="105">
        <v>-7.7</v>
      </c>
      <c r="I120" s="105">
        <v>-7.7</v>
      </c>
      <c r="J120" s="105">
        <v>-7.7</v>
      </c>
      <c r="K120" s="105">
        <v>1.4</v>
      </c>
      <c r="L120" s="105">
        <v>3.2</v>
      </c>
      <c r="M120" s="105">
        <v>8.3000000000000007</v>
      </c>
      <c r="N120" s="105">
        <v>3</v>
      </c>
      <c r="O120" s="105">
        <v>4</v>
      </c>
      <c r="P120" s="105">
        <v>10.3</v>
      </c>
      <c r="Q120" s="105">
        <v>0.5</v>
      </c>
      <c r="R120" s="105">
        <v>1.9</v>
      </c>
      <c r="S120" s="105">
        <v>-0.7</v>
      </c>
      <c r="T120" s="105">
        <v>3</v>
      </c>
      <c r="U120" s="105">
        <v>11</v>
      </c>
      <c r="V120" s="105">
        <v>9.4</v>
      </c>
      <c r="W120" s="105">
        <v>2.8</v>
      </c>
      <c r="X120" s="105">
        <v>7</v>
      </c>
      <c r="Y120" s="105">
        <v>7</v>
      </c>
      <c r="Z120" s="105">
        <v>27</v>
      </c>
      <c r="AA120" s="105">
        <v>32</v>
      </c>
      <c r="AB120" s="105">
        <v>30</v>
      </c>
      <c r="AC120" s="105">
        <v>30</v>
      </c>
      <c r="AD120" s="105">
        <v>31</v>
      </c>
      <c r="AE120" s="105">
        <v>27</v>
      </c>
      <c r="AF120" s="105">
        <v>19</v>
      </c>
      <c r="AG120" s="118"/>
      <c r="AH120" s="47">
        <f t="shared" si="8"/>
        <v>32</v>
      </c>
      <c r="AI120" s="48">
        <f t="shared" si="9"/>
        <v>-7.7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7">SUM(B122:B226)</f>
        <v>0</v>
      </c>
      <c r="C227" s="136">
        <f t="shared" si="17"/>
        <v>0</v>
      </c>
      <c r="D227" s="136">
        <f t="shared" si="17"/>
        <v>0</v>
      </c>
      <c r="E227" s="136">
        <f t="shared" si="17"/>
        <v>0</v>
      </c>
      <c r="F227" s="136">
        <f t="shared" si="17"/>
        <v>0</v>
      </c>
      <c r="G227" s="136">
        <f t="shared" si="17"/>
        <v>0</v>
      </c>
      <c r="H227" s="136">
        <f t="shared" si="17"/>
        <v>0</v>
      </c>
      <c r="I227" s="136">
        <f t="shared" si="17"/>
        <v>0</v>
      </c>
      <c r="J227" s="136">
        <f t="shared" si="17"/>
        <v>0</v>
      </c>
      <c r="K227" s="136">
        <f t="shared" si="17"/>
        <v>0</v>
      </c>
      <c r="L227" s="136">
        <f t="shared" si="17"/>
        <v>0</v>
      </c>
      <c r="M227" s="136">
        <f t="shared" si="17"/>
        <v>0</v>
      </c>
      <c r="N227" s="136">
        <f t="shared" si="17"/>
        <v>0</v>
      </c>
      <c r="O227" s="136">
        <f t="shared" si="17"/>
        <v>0</v>
      </c>
      <c r="P227" s="136">
        <f t="shared" si="17"/>
        <v>0</v>
      </c>
      <c r="Q227" s="136">
        <f t="shared" si="17"/>
        <v>0</v>
      </c>
      <c r="R227" s="136">
        <f t="shared" si="17"/>
        <v>0</v>
      </c>
      <c r="S227" s="136">
        <f t="shared" si="17"/>
        <v>0</v>
      </c>
      <c r="T227" s="136">
        <f t="shared" si="17"/>
        <v>0</v>
      </c>
      <c r="U227" s="136">
        <f t="shared" si="17"/>
        <v>0</v>
      </c>
      <c r="V227" s="136">
        <f t="shared" si="17"/>
        <v>0</v>
      </c>
      <c r="W227" s="136">
        <f t="shared" si="17"/>
        <v>0</v>
      </c>
      <c r="X227" s="136">
        <f t="shared" si="17"/>
        <v>0</v>
      </c>
      <c r="Y227" s="136">
        <f t="shared" si="17"/>
        <v>0</v>
      </c>
      <c r="Z227" s="136">
        <f t="shared" si="17"/>
        <v>0</v>
      </c>
      <c r="AA227" s="136">
        <f t="shared" si="17"/>
        <v>0</v>
      </c>
      <c r="AB227" s="136">
        <f t="shared" si="17"/>
        <v>0</v>
      </c>
      <c r="AC227" s="136">
        <f t="shared" si="17"/>
        <v>0</v>
      </c>
      <c r="AD227" s="136">
        <f t="shared" si="17"/>
        <v>0</v>
      </c>
      <c r="AE227" s="136">
        <f t="shared" si="17"/>
        <v>0</v>
      </c>
      <c r="AF227" s="137">
        <f t="shared" si="17"/>
        <v>0</v>
      </c>
      <c r="AG227" s="138">
        <f t="shared" si="1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8">AF229</f>
        <v>0</v>
      </c>
      <c r="C229" s="140">
        <v>0.3</v>
      </c>
      <c r="D229" s="140">
        <f t="shared" ref="D229:P234" si="19">C229</f>
        <v>0.3</v>
      </c>
      <c r="E229" s="140">
        <f t="shared" si="19"/>
        <v>0.3</v>
      </c>
      <c r="F229" s="140">
        <f t="shared" si="19"/>
        <v>0.3</v>
      </c>
      <c r="G229" s="140">
        <f t="shared" si="19"/>
        <v>0.3</v>
      </c>
      <c r="H229" s="140">
        <f t="shared" si="19"/>
        <v>0.3</v>
      </c>
      <c r="I229" s="140">
        <f t="shared" si="19"/>
        <v>0.3</v>
      </c>
      <c r="J229" s="140">
        <f t="shared" si="19"/>
        <v>0.3</v>
      </c>
      <c r="K229" s="140">
        <f t="shared" si="19"/>
        <v>0.3</v>
      </c>
      <c r="L229" s="140">
        <f t="shared" si="19"/>
        <v>0.3</v>
      </c>
      <c r="M229" s="140">
        <f t="shared" si="19"/>
        <v>0.3</v>
      </c>
      <c r="N229" s="140">
        <f t="shared" si="19"/>
        <v>0.3</v>
      </c>
      <c r="O229" s="140">
        <f t="shared" si="19"/>
        <v>0.3</v>
      </c>
      <c r="P229" s="140">
        <f t="shared" si="1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8"/>
        <v>0</v>
      </c>
      <c r="C230" s="128">
        <v>0.4</v>
      </c>
      <c r="D230" s="128">
        <f t="shared" si="19"/>
        <v>0.4</v>
      </c>
      <c r="E230" s="128">
        <f t="shared" si="19"/>
        <v>0.4</v>
      </c>
      <c r="F230" s="128">
        <f t="shared" si="19"/>
        <v>0.4</v>
      </c>
      <c r="G230" s="128">
        <f t="shared" si="19"/>
        <v>0.4</v>
      </c>
      <c r="H230" s="128">
        <f t="shared" si="19"/>
        <v>0.4</v>
      </c>
      <c r="I230" s="128">
        <f t="shared" si="19"/>
        <v>0.4</v>
      </c>
      <c r="J230" s="128">
        <f t="shared" si="19"/>
        <v>0.4</v>
      </c>
      <c r="K230" s="128">
        <f t="shared" si="19"/>
        <v>0.4</v>
      </c>
      <c r="L230" s="128">
        <f t="shared" si="19"/>
        <v>0.4</v>
      </c>
      <c r="M230" s="128">
        <f t="shared" si="19"/>
        <v>0.4</v>
      </c>
      <c r="N230" s="128">
        <f t="shared" si="19"/>
        <v>0.4</v>
      </c>
      <c r="O230" s="128">
        <f t="shared" si="19"/>
        <v>0.4</v>
      </c>
      <c r="P230" s="128">
        <f t="shared" si="1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8"/>
        <v>0</v>
      </c>
      <c r="C231" s="128">
        <v>1.5</v>
      </c>
      <c r="D231" s="128">
        <f t="shared" si="19"/>
        <v>1.5</v>
      </c>
      <c r="E231" s="128">
        <f t="shared" si="19"/>
        <v>1.5</v>
      </c>
      <c r="F231" s="128">
        <f t="shared" si="19"/>
        <v>1.5</v>
      </c>
      <c r="G231" s="128">
        <f t="shared" si="19"/>
        <v>1.5</v>
      </c>
      <c r="H231" s="128">
        <f t="shared" si="1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9"/>
        <v>123.21900000000009</v>
      </c>
      <c r="K231" s="128">
        <f t="shared" ca="1" si="19"/>
        <v>123.21900000000009</v>
      </c>
      <c r="L231" s="128">
        <f t="shared" ca="1" si="19"/>
        <v>123.21900000000009</v>
      </c>
      <c r="M231" s="128">
        <f t="shared" ca="1" si="19"/>
        <v>119.19900000000008</v>
      </c>
      <c r="N231" s="128">
        <f t="shared" ca="1" si="19"/>
        <v>119.19900000000008</v>
      </c>
      <c r="O231" s="128">
        <f t="shared" ca="1" si="19"/>
        <v>119.19900000000008</v>
      </c>
      <c r="P231" s="128">
        <f t="shared" ca="1" si="1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8"/>
        <v>0</v>
      </c>
      <c r="C232" s="128">
        <v>0.3</v>
      </c>
      <c r="D232" s="128">
        <f t="shared" si="19"/>
        <v>0.3</v>
      </c>
      <c r="E232" s="128">
        <f t="shared" si="19"/>
        <v>0.3</v>
      </c>
      <c r="F232" s="128">
        <f t="shared" si="19"/>
        <v>0.3</v>
      </c>
      <c r="G232" s="128">
        <f t="shared" si="19"/>
        <v>0.3</v>
      </c>
      <c r="H232" s="128">
        <f t="shared" si="19"/>
        <v>0.3</v>
      </c>
      <c r="I232" s="128">
        <f t="shared" si="19"/>
        <v>0.3</v>
      </c>
      <c r="J232" s="128">
        <f t="shared" si="19"/>
        <v>0.3</v>
      </c>
      <c r="K232" s="128">
        <f t="shared" si="19"/>
        <v>0.3</v>
      </c>
      <c r="L232" s="128">
        <f t="shared" si="19"/>
        <v>0.3</v>
      </c>
      <c r="M232" s="128">
        <f t="shared" si="19"/>
        <v>0.3</v>
      </c>
      <c r="N232" s="128">
        <f t="shared" si="19"/>
        <v>0.3</v>
      </c>
      <c r="O232" s="128">
        <f t="shared" si="19"/>
        <v>0.3</v>
      </c>
      <c r="P232" s="128">
        <f t="shared" si="1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8"/>
        <v>0</v>
      </c>
      <c r="C233" s="128">
        <v>0.4</v>
      </c>
      <c r="D233" s="128">
        <f t="shared" si="19"/>
        <v>0.4</v>
      </c>
      <c r="E233" s="128">
        <f t="shared" si="19"/>
        <v>0.4</v>
      </c>
      <c r="F233" s="128">
        <f t="shared" si="19"/>
        <v>0.4</v>
      </c>
      <c r="G233" s="128">
        <f t="shared" si="19"/>
        <v>0.4</v>
      </c>
      <c r="H233" s="128">
        <f t="shared" si="19"/>
        <v>0.4</v>
      </c>
      <c r="I233" s="128">
        <f t="shared" si="19"/>
        <v>0.4</v>
      </c>
      <c r="J233" s="128">
        <f t="shared" si="19"/>
        <v>0.4</v>
      </c>
      <c r="K233" s="128">
        <f t="shared" si="19"/>
        <v>0.4</v>
      </c>
      <c r="L233" s="128">
        <f t="shared" si="19"/>
        <v>0.4</v>
      </c>
      <c r="M233" s="128">
        <f t="shared" si="19"/>
        <v>0.4</v>
      </c>
      <c r="N233" s="128">
        <f t="shared" si="19"/>
        <v>0.4</v>
      </c>
      <c r="O233" s="128">
        <f t="shared" si="19"/>
        <v>0.4</v>
      </c>
      <c r="P233" s="128">
        <f t="shared" si="1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8"/>
        <v>0</v>
      </c>
      <c r="C234" s="132">
        <v>0.64</v>
      </c>
      <c r="D234" s="132">
        <f t="shared" si="19"/>
        <v>0.64</v>
      </c>
      <c r="E234" s="132">
        <f t="shared" si="19"/>
        <v>0.64</v>
      </c>
      <c r="F234" s="132">
        <f t="shared" si="19"/>
        <v>0.64</v>
      </c>
      <c r="G234" s="132">
        <f t="shared" si="19"/>
        <v>0.64</v>
      </c>
      <c r="H234" s="132">
        <f t="shared" si="19"/>
        <v>0.64</v>
      </c>
      <c r="I234" s="132">
        <f t="shared" si="19"/>
        <v>0.64</v>
      </c>
      <c r="J234" s="132">
        <f t="shared" si="19"/>
        <v>0.64</v>
      </c>
      <c r="K234" s="132">
        <f t="shared" si="19"/>
        <v>0.64</v>
      </c>
      <c r="L234" s="132">
        <f t="shared" si="19"/>
        <v>0.64</v>
      </c>
      <c r="M234" s="132">
        <f t="shared" si="19"/>
        <v>0.64</v>
      </c>
      <c r="N234" s="132">
        <f t="shared" si="19"/>
        <v>0.64</v>
      </c>
      <c r="O234" s="132">
        <f t="shared" si="19"/>
        <v>0.64</v>
      </c>
      <c r="P234" s="132">
        <f t="shared" si="1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0">SUM(B229:B234)</f>
        <v>0</v>
      </c>
      <c r="C235" s="136">
        <f t="shared" si="20"/>
        <v>3.54</v>
      </c>
      <c r="D235" s="136">
        <f t="shared" si="20"/>
        <v>3.54</v>
      </c>
      <c r="E235" s="136">
        <f t="shared" si="20"/>
        <v>3.54</v>
      </c>
      <c r="F235" s="136">
        <f t="shared" si="20"/>
        <v>3.54</v>
      </c>
      <c r="G235" s="136">
        <f t="shared" si="20"/>
        <v>3.54</v>
      </c>
      <c r="H235" s="136">
        <f t="shared" si="20"/>
        <v>3.54</v>
      </c>
      <c r="I235" s="136">
        <f t="shared" ca="1" si="20"/>
        <v>121.23900000000009</v>
      </c>
      <c r="J235" s="136">
        <f t="shared" ca="1" si="20"/>
        <v>121.23900000000009</v>
      </c>
      <c r="K235" s="136">
        <f t="shared" ca="1" si="20"/>
        <v>121.23900000000009</v>
      </c>
      <c r="L235" s="136">
        <f t="shared" ca="1" si="20"/>
        <v>125.2590000000001</v>
      </c>
      <c r="M235" s="136">
        <f t="shared" ca="1" si="20"/>
        <v>121.23900000000009</v>
      </c>
      <c r="N235" s="136">
        <f t="shared" ca="1" si="20"/>
        <v>121.23900000000009</v>
      </c>
      <c r="O235" s="136">
        <f t="shared" ca="1" si="20"/>
        <v>121.23900000000009</v>
      </c>
      <c r="P235" s="136">
        <f t="shared" ca="1" si="20"/>
        <v>121.23900000000009</v>
      </c>
      <c r="Q235" s="136">
        <f t="shared" si="20"/>
        <v>0</v>
      </c>
      <c r="R235" s="136">
        <f t="shared" si="20"/>
        <v>0</v>
      </c>
      <c r="S235" s="136">
        <f t="shared" si="20"/>
        <v>0</v>
      </c>
      <c r="T235" s="136">
        <f t="shared" si="20"/>
        <v>0</v>
      </c>
      <c r="U235" s="136">
        <f t="shared" si="20"/>
        <v>0</v>
      </c>
      <c r="V235" s="136">
        <f t="shared" si="20"/>
        <v>0</v>
      </c>
      <c r="W235" s="136">
        <f t="shared" si="20"/>
        <v>0</v>
      </c>
      <c r="X235" s="136">
        <f t="shared" si="20"/>
        <v>0</v>
      </c>
      <c r="Y235" s="136">
        <f t="shared" si="20"/>
        <v>0</v>
      </c>
      <c r="Z235" s="136">
        <f t="shared" si="20"/>
        <v>0</v>
      </c>
      <c r="AA235" s="136">
        <f t="shared" si="20"/>
        <v>0</v>
      </c>
      <c r="AB235" s="136">
        <f t="shared" si="20"/>
        <v>0</v>
      </c>
      <c r="AC235" s="136">
        <f t="shared" si="20"/>
        <v>0</v>
      </c>
      <c r="AD235" s="136">
        <f t="shared" si="20"/>
        <v>0</v>
      </c>
      <c r="AE235" s="136">
        <f t="shared" si="20"/>
        <v>0</v>
      </c>
      <c r="AF235" s="136">
        <f t="shared" si="20"/>
        <v>0</v>
      </c>
      <c r="AG235" s="145">
        <f t="shared" si="2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1972.8400000000001</v>
      </c>
      <c r="C244" s="161">
        <f>INDEX(G9:N9,1,MATCH(MAX(G91:N91),G91:N91,0))</f>
        <v>0.29166666666666669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1">B91</f>
        <v>1872.8400000000001</v>
      </c>
      <c r="U249" s="170">
        <f t="shared" si="21"/>
        <v>1869.3400000000001</v>
      </c>
      <c r="V249" s="170">
        <f t="shared" si="21"/>
        <v>1835.3400000000001</v>
      </c>
      <c r="W249" s="170">
        <f t="shared" si="21"/>
        <v>1835.3400000000001</v>
      </c>
      <c r="X249" s="170">
        <f t="shared" si="21"/>
        <v>1835.3400000000001</v>
      </c>
      <c r="Y249" s="170">
        <f t="shared" si="21"/>
        <v>1901.14</v>
      </c>
      <c r="Z249" s="170">
        <f t="shared" si="21"/>
        <v>1895.8400000000001</v>
      </c>
      <c r="AA249" s="170">
        <f t="shared" si="21"/>
        <v>1911.8400000000001</v>
      </c>
      <c r="AB249" s="170">
        <f t="shared" si="21"/>
        <v>1923.8400000000001</v>
      </c>
      <c r="AC249" s="170">
        <f t="shared" si="21"/>
        <v>1972.8400000000001</v>
      </c>
      <c r="AD249" s="170">
        <f t="shared" si="21"/>
        <v>1928.3000000000002</v>
      </c>
      <c r="AE249" s="170">
        <f t="shared" si="21"/>
        <v>1912.74</v>
      </c>
      <c r="AF249" s="170">
        <f t="shared" si="21"/>
        <v>1888.74</v>
      </c>
      <c r="AG249" s="170">
        <f t="shared" si="21"/>
        <v>1884.6399999999999</v>
      </c>
      <c r="AH249" s="170">
        <f t="shared" si="21"/>
        <v>1902.44</v>
      </c>
      <c r="AI249" s="170">
        <f t="shared" si="21"/>
        <v>1882.2400000000002</v>
      </c>
      <c r="AJ249" s="170">
        <f t="shared" si="21"/>
        <v>1875.3400000000001</v>
      </c>
      <c r="AK249" s="170">
        <f t="shared" si="21"/>
        <v>1874.44</v>
      </c>
      <c r="AL249" s="170">
        <f t="shared" si="21"/>
        <v>1883.2400000000002</v>
      </c>
      <c r="AM249" s="170">
        <f t="shared" si="21"/>
        <v>1892.2400000000002</v>
      </c>
      <c r="AN249" s="170">
        <f t="shared" si="21"/>
        <v>1923.94</v>
      </c>
      <c r="AO249" s="170">
        <f t="shared" si="21"/>
        <v>1923.4399999999998</v>
      </c>
      <c r="AP249" s="170">
        <f t="shared" si="21"/>
        <v>1925.2399999999998</v>
      </c>
      <c r="AQ249" s="170">
        <f t="shared" si="21"/>
        <v>1925.2399999999998</v>
      </c>
      <c r="AR249" s="170">
        <f t="shared" si="21"/>
        <v>2033.04</v>
      </c>
      <c r="AS249" s="170">
        <f t="shared" si="21"/>
        <v>2040.04</v>
      </c>
      <c r="AT249" s="170">
        <f t="shared" si="21"/>
        <v>1993.7400000000002</v>
      </c>
      <c r="AU249" s="170">
        <f t="shared" si="21"/>
        <v>1993.7400000000002</v>
      </c>
      <c r="AV249" s="170">
        <f t="shared" si="21"/>
        <v>1993.7400000000002</v>
      </c>
      <c r="AW249" s="170">
        <f t="shared" si="21"/>
        <v>1873.74</v>
      </c>
      <c r="AX249" s="170">
        <f t="shared" si="21"/>
        <v>1863.74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2">C234</f>
        <v>0.64</v>
      </c>
      <c r="C270" s="173">
        <f t="shared" si="22"/>
        <v>0.64</v>
      </c>
      <c r="D270" s="173">
        <f t="shared" si="22"/>
        <v>0.64</v>
      </c>
      <c r="E270" s="173">
        <f t="shared" si="22"/>
        <v>0.64</v>
      </c>
      <c r="F270" s="173">
        <f t="shared" si="22"/>
        <v>0.64</v>
      </c>
      <c r="G270" s="173">
        <f t="shared" si="22"/>
        <v>0.64</v>
      </c>
      <c r="H270" s="173">
        <f t="shared" si="22"/>
        <v>0.64</v>
      </c>
      <c r="I270" s="173">
        <f t="shared" si="22"/>
        <v>0.64</v>
      </c>
      <c r="J270" s="173">
        <f t="shared" si="22"/>
        <v>0.64</v>
      </c>
      <c r="K270" s="173">
        <f t="shared" si="22"/>
        <v>0.64</v>
      </c>
      <c r="L270" s="173">
        <f t="shared" si="22"/>
        <v>0.64</v>
      </c>
      <c r="M270" s="173">
        <f t="shared" si="22"/>
        <v>0.64</v>
      </c>
      <c r="N270" s="173">
        <f t="shared" si="22"/>
        <v>0.64</v>
      </c>
      <c r="O270" s="173">
        <f t="shared" si="22"/>
        <v>0.64</v>
      </c>
      <c r="P270" s="173">
        <f t="shared" si="22"/>
        <v>0</v>
      </c>
      <c r="Q270" s="173">
        <f t="shared" si="22"/>
        <v>0</v>
      </c>
      <c r="R270" s="173">
        <f t="shared" si="22"/>
        <v>0</v>
      </c>
      <c r="S270" s="173">
        <f t="shared" si="22"/>
        <v>0</v>
      </c>
      <c r="T270" s="173">
        <f t="shared" si="22"/>
        <v>0</v>
      </c>
      <c r="U270" s="173">
        <f t="shared" si="22"/>
        <v>0</v>
      </c>
      <c r="V270" s="173">
        <f t="shared" si="22"/>
        <v>0</v>
      </c>
      <c r="W270" s="173">
        <f t="shared" si="22"/>
        <v>0</v>
      </c>
      <c r="X270" s="173">
        <f t="shared" si="22"/>
        <v>0</v>
      </c>
      <c r="Y270" s="173">
        <f t="shared" si="22"/>
        <v>0</v>
      </c>
      <c r="Z270" s="173">
        <f t="shared" si="22"/>
        <v>0</v>
      </c>
      <c r="AA270" s="173">
        <f t="shared" si="22"/>
        <v>0</v>
      </c>
      <c r="AB270" s="173">
        <f t="shared" si="22"/>
        <v>0</v>
      </c>
      <c r="AC270" s="173">
        <f t="shared" si="22"/>
        <v>0</v>
      </c>
      <c r="AD270" s="173">
        <f t="shared" si="22"/>
        <v>0</v>
      </c>
      <c r="AE270" s="173">
        <f t="shared" si="2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3">IF(B238&lt;100,"",B238-520)</f>
        <v/>
      </c>
      <c r="C271" s="174" t="str">
        <f t="shared" si="23"/>
        <v/>
      </c>
      <c r="D271" s="174" t="str">
        <f t="shared" si="23"/>
        <v/>
      </c>
      <c r="E271" s="174" t="str">
        <f t="shared" si="23"/>
        <v/>
      </c>
      <c r="F271" s="174" t="str">
        <f t="shared" si="23"/>
        <v/>
      </c>
      <c r="G271" s="174" t="str">
        <f t="shared" si="23"/>
        <v/>
      </c>
      <c r="H271" s="174" t="str">
        <f t="shared" si="23"/>
        <v/>
      </c>
      <c r="I271" s="174" t="str">
        <f t="shared" si="23"/>
        <v/>
      </c>
      <c r="J271" s="174" t="str">
        <f t="shared" si="23"/>
        <v/>
      </c>
      <c r="K271" s="174" t="str">
        <f t="shared" si="23"/>
        <v/>
      </c>
      <c r="L271" s="174" t="str">
        <f t="shared" si="23"/>
        <v/>
      </c>
      <c r="M271" s="174" t="str">
        <f t="shared" si="23"/>
        <v/>
      </c>
      <c r="N271" s="174" t="str">
        <f t="shared" si="23"/>
        <v/>
      </c>
      <c r="O271" s="174" t="str">
        <f t="shared" si="23"/>
        <v/>
      </c>
      <c r="P271" s="174" t="str">
        <f t="shared" si="23"/>
        <v/>
      </c>
      <c r="Q271" s="174" t="str">
        <f t="shared" si="23"/>
        <v/>
      </c>
      <c r="R271" s="174" t="str">
        <f t="shared" si="23"/>
        <v/>
      </c>
      <c r="S271" s="174" t="str">
        <f t="shared" si="23"/>
        <v/>
      </c>
      <c r="T271" s="174" t="str">
        <f t="shared" si="23"/>
        <v/>
      </c>
      <c r="U271" s="174" t="str">
        <f t="shared" si="23"/>
        <v/>
      </c>
      <c r="V271" s="174" t="str">
        <f t="shared" si="23"/>
        <v/>
      </c>
      <c r="W271" s="174" t="str">
        <f t="shared" si="23"/>
        <v/>
      </c>
      <c r="X271" s="174" t="str">
        <f t="shared" si="23"/>
        <v/>
      </c>
      <c r="Y271" s="174" t="str">
        <f t="shared" si="23"/>
        <v/>
      </c>
      <c r="Z271" s="174" t="str">
        <f t="shared" si="23"/>
        <v/>
      </c>
      <c r="AA271" s="174" t="str">
        <f t="shared" si="23"/>
        <v/>
      </c>
      <c r="AB271" s="174" t="str">
        <f t="shared" si="23"/>
        <v/>
      </c>
      <c r="AC271" s="174" t="str">
        <f t="shared" si="23"/>
        <v/>
      </c>
      <c r="AD271" s="174" t="str">
        <f t="shared" si="23"/>
        <v/>
      </c>
      <c r="AE271" s="174" t="str">
        <f t="shared" si="23"/>
        <v/>
      </c>
      <c r="AF271" s="174" t="str">
        <f t="shared" si="2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4">IF(B239&lt;100,"",B239-620)</f>
        <v/>
      </c>
      <c r="C272" s="174" t="str">
        <f t="shared" si="24"/>
        <v/>
      </c>
      <c r="D272" s="174" t="str">
        <f t="shared" si="24"/>
        <v/>
      </c>
      <c r="E272" s="174" t="str">
        <f t="shared" si="24"/>
        <v/>
      </c>
      <c r="F272" s="174" t="str">
        <f t="shared" si="24"/>
        <v/>
      </c>
      <c r="G272" s="174" t="str">
        <f t="shared" si="24"/>
        <v/>
      </c>
      <c r="H272" s="174" t="str">
        <f t="shared" si="24"/>
        <v/>
      </c>
      <c r="I272" s="174" t="str">
        <f t="shared" si="24"/>
        <v/>
      </c>
      <c r="J272" s="174" t="str">
        <f t="shared" si="24"/>
        <v/>
      </c>
      <c r="K272" s="174" t="str">
        <f t="shared" si="24"/>
        <v/>
      </c>
      <c r="L272" s="174" t="str">
        <f t="shared" si="24"/>
        <v/>
      </c>
      <c r="M272" s="174" t="str">
        <f t="shared" si="24"/>
        <v/>
      </c>
      <c r="N272" s="174" t="str">
        <f t="shared" si="24"/>
        <v/>
      </c>
      <c r="O272" s="174" t="str">
        <f t="shared" si="24"/>
        <v/>
      </c>
      <c r="P272" s="174" t="str">
        <f t="shared" si="24"/>
        <v/>
      </c>
      <c r="Q272" s="174" t="str">
        <f t="shared" si="24"/>
        <v/>
      </c>
      <c r="R272" s="174" t="str">
        <f t="shared" si="24"/>
        <v/>
      </c>
      <c r="S272" s="174" t="str">
        <f t="shared" si="24"/>
        <v/>
      </c>
      <c r="T272" s="174" t="str">
        <f t="shared" si="24"/>
        <v/>
      </c>
      <c r="U272" s="174" t="str">
        <f t="shared" si="24"/>
        <v/>
      </c>
      <c r="V272" s="174" t="str">
        <f t="shared" si="24"/>
        <v/>
      </c>
      <c r="W272" s="174" t="str">
        <f t="shared" si="24"/>
        <v/>
      </c>
      <c r="X272" s="174" t="str">
        <f t="shared" si="24"/>
        <v/>
      </c>
      <c r="Y272" s="174" t="str">
        <f t="shared" si="24"/>
        <v/>
      </c>
      <c r="Z272" s="174" t="str">
        <f t="shared" si="24"/>
        <v/>
      </c>
      <c r="AA272" s="174" t="str">
        <f t="shared" si="24"/>
        <v/>
      </c>
      <c r="AB272" s="174" t="str">
        <f t="shared" si="24"/>
        <v/>
      </c>
      <c r="AC272" s="174" t="str">
        <f t="shared" si="24"/>
        <v/>
      </c>
      <c r="AD272" s="174" t="str">
        <f t="shared" si="24"/>
        <v/>
      </c>
      <c r="AE272" s="174" t="str">
        <f t="shared" si="24"/>
        <v/>
      </c>
      <c r="AF272" s="174" t="str">
        <f t="shared" si="2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5">IF(B240&lt;100,"",B240-330)</f>
        <v/>
      </c>
      <c r="C273" s="174" t="str">
        <f t="shared" si="25"/>
        <v/>
      </c>
      <c r="D273" s="174" t="str">
        <f t="shared" si="25"/>
        <v/>
      </c>
      <c r="E273" s="174" t="str">
        <f t="shared" si="25"/>
        <v/>
      </c>
      <c r="F273" s="174" t="str">
        <f t="shared" si="25"/>
        <v/>
      </c>
      <c r="G273" s="174" t="str">
        <f t="shared" si="25"/>
        <v/>
      </c>
      <c r="H273" s="174" t="str">
        <f t="shared" si="25"/>
        <v/>
      </c>
      <c r="I273" s="174" t="str">
        <f t="shared" si="25"/>
        <v/>
      </c>
      <c r="J273" s="174" t="str">
        <f t="shared" si="25"/>
        <v/>
      </c>
      <c r="K273" s="174" t="str">
        <f t="shared" si="25"/>
        <v/>
      </c>
      <c r="L273" s="174" t="str">
        <f t="shared" si="25"/>
        <v/>
      </c>
      <c r="M273" s="174" t="str">
        <f t="shared" si="25"/>
        <v/>
      </c>
      <c r="N273" s="174" t="str">
        <f t="shared" si="25"/>
        <v/>
      </c>
      <c r="O273" s="174" t="str">
        <f t="shared" si="25"/>
        <v/>
      </c>
      <c r="P273" s="174" t="str">
        <f t="shared" si="25"/>
        <v/>
      </c>
      <c r="Q273" s="174" t="str">
        <f t="shared" si="25"/>
        <v/>
      </c>
      <c r="R273" s="174" t="str">
        <f t="shared" si="25"/>
        <v/>
      </c>
      <c r="S273" s="174" t="str">
        <f t="shared" si="25"/>
        <v/>
      </c>
      <c r="T273" s="174" t="str">
        <f t="shared" si="25"/>
        <v/>
      </c>
      <c r="U273" s="174" t="str">
        <f t="shared" si="25"/>
        <v/>
      </c>
      <c r="V273" s="174" t="str">
        <f t="shared" si="25"/>
        <v/>
      </c>
      <c r="W273" s="174" t="str">
        <f t="shared" si="25"/>
        <v/>
      </c>
      <c r="X273" s="174" t="str">
        <f t="shared" si="25"/>
        <v/>
      </c>
      <c r="Y273" s="174" t="str">
        <f t="shared" si="25"/>
        <v/>
      </c>
      <c r="Z273" s="174" t="str">
        <f t="shared" si="25"/>
        <v/>
      </c>
      <c r="AA273" s="174" t="str">
        <f t="shared" si="25"/>
        <v/>
      </c>
      <c r="AB273" s="174" t="str">
        <f t="shared" si="25"/>
        <v/>
      </c>
      <c r="AC273" s="174" t="str">
        <f t="shared" si="25"/>
        <v/>
      </c>
      <c r="AD273" s="174" t="str">
        <f t="shared" si="25"/>
        <v/>
      </c>
      <c r="AE273" s="174" t="str">
        <f t="shared" si="25"/>
        <v/>
      </c>
      <c r="AF273" s="174" t="str">
        <f t="shared" si="2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6">IF(B241&lt;100,"",B241-1500)</f>
        <v/>
      </c>
      <c r="C274" s="174" t="str">
        <f t="shared" si="26"/>
        <v/>
      </c>
      <c r="D274" s="174" t="str">
        <f t="shared" si="26"/>
        <v/>
      </c>
      <c r="E274" s="174" t="str">
        <f t="shared" si="26"/>
        <v/>
      </c>
      <c r="F274" s="174" t="str">
        <f t="shared" si="26"/>
        <v/>
      </c>
      <c r="G274" s="174" t="str">
        <f t="shared" si="26"/>
        <v/>
      </c>
      <c r="H274" s="174" t="str">
        <f t="shared" si="26"/>
        <v/>
      </c>
      <c r="I274" s="174" t="str">
        <f t="shared" si="26"/>
        <v/>
      </c>
      <c r="J274" s="174" t="str">
        <f t="shared" si="26"/>
        <v/>
      </c>
      <c r="K274" s="174" t="str">
        <f t="shared" si="26"/>
        <v/>
      </c>
      <c r="L274" s="174" t="str">
        <f t="shared" si="26"/>
        <v/>
      </c>
      <c r="M274" s="174" t="str">
        <f t="shared" si="26"/>
        <v/>
      </c>
      <c r="N274" s="174" t="str">
        <f t="shared" si="26"/>
        <v/>
      </c>
      <c r="O274" s="174" t="str">
        <f t="shared" si="26"/>
        <v/>
      </c>
      <c r="P274" s="174" t="str">
        <f t="shared" si="26"/>
        <v/>
      </c>
      <c r="Q274" s="174" t="str">
        <f t="shared" si="26"/>
        <v/>
      </c>
      <c r="R274" s="174" t="str">
        <f t="shared" si="26"/>
        <v/>
      </c>
      <c r="S274" s="174" t="str">
        <f t="shared" si="26"/>
        <v/>
      </c>
      <c r="T274" s="174" t="str">
        <f t="shared" si="26"/>
        <v/>
      </c>
      <c r="U274" s="174" t="str">
        <f t="shared" si="26"/>
        <v/>
      </c>
      <c r="V274" s="174" t="str">
        <f t="shared" si="26"/>
        <v/>
      </c>
      <c r="W274" s="174" t="str">
        <f t="shared" si="26"/>
        <v/>
      </c>
      <c r="X274" s="174" t="str">
        <f t="shared" si="26"/>
        <v/>
      </c>
      <c r="Y274" s="174" t="str">
        <f t="shared" si="26"/>
        <v/>
      </c>
      <c r="Z274" s="174" t="str">
        <f t="shared" si="26"/>
        <v/>
      </c>
      <c r="AA274" s="174" t="str">
        <f t="shared" si="26"/>
        <v/>
      </c>
      <c r="AB274" s="174" t="str">
        <f t="shared" si="26"/>
        <v/>
      </c>
      <c r="AC274" s="174" t="str">
        <f t="shared" si="26"/>
        <v/>
      </c>
      <c r="AD274" s="174" t="str">
        <f t="shared" si="26"/>
        <v/>
      </c>
      <c r="AE274" s="174" t="str">
        <f t="shared" si="26"/>
        <v/>
      </c>
      <c r="AF274" s="174" t="str">
        <f t="shared" si="2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3421" priority="64">
      <formula>$AH11=0</formula>
    </cfRule>
  </conditionalFormatting>
  <conditionalFormatting sqref="B8 M8 S8 AB8">
    <cfRule type="expression" dxfId="3420" priority="117">
      <formula>C$9&lt;8/24</formula>
    </cfRule>
    <cfRule type="expression" dxfId="3419" priority="116">
      <formula>AND(C$9&gt;=8/24,C$9&lt;14/24)</formula>
    </cfRule>
    <cfRule type="expression" dxfId="3418" priority="115">
      <formula>AND(C$9&gt;=14/24,C$9&lt;20/24)</formula>
    </cfRule>
  </conditionalFormatting>
  <conditionalFormatting sqref="B54:C54">
    <cfRule type="expression" dxfId="3417" priority="38">
      <formula>B$9&gt;=20/24</formula>
    </cfRule>
    <cfRule type="expression" dxfId="3416" priority="39">
      <formula>AND(B$9&gt;=14/24,B$9&lt;20/24)</formula>
    </cfRule>
    <cfRule type="expression" dxfId="3415" priority="40">
      <formula>AND(B$9&gt;=8/24,B$9&lt;14/24)</formula>
    </cfRule>
    <cfRule type="expression" dxfId="3414" priority="41">
      <formula>B$9&lt;8/24</formula>
    </cfRule>
  </conditionalFormatting>
  <conditionalFormatting sqref="B54:C66 D55:L55 C56:L56 D57:L66 N62:O66">
    <cfRule type="expression" dxfId="3413" priority="33">
      <formula>B54&gt;$AG54</formula>
    </cfRule>
  </conditionalFormatting>
  <conditionalFormatting sqref="B55:AD60">
    <cfRule type="expression" dxfId="3412" priority="52">
      <formula>AND(B$9&gt;=14/24,B$9&lt;20/24)</formula>
    </cfRule>
    <cfRule type="expression" dxfId="3411" priority="51">
      <formula>B$9&gt;=20/24</formula>
    </cfRule>
    <cfRule type="expression" dxfId="3410" priority="54">
      <formula>B$9&lt;8/24</formula>
    </cfRule>
    <cfRule type="expression" dxfId="3409" priority="53">
      <formula>AND(B$9&gt;=8/24,B$9&lt;14/24)</formula>
    </cfRule>
  </conditionalFormatting>
  <conditionalFormatting sqref="B9:AF45">
    <cfRule type="expression" dxfId="3408" priority="23">
      <formula>B$9&gt;=20/24</formula>
    </cfRule>
    <cfRule type="expression" dxfId="3407" priority="24">
      <formula>AND(B$9&gt;=14/24,B$9&lt;20/24)</formula>
    </cfRule>
    <cfRule type="expression" dxfId="3406" priority="25">
      <formula>AND(B$9&gt;=8/24,B$9&lt;14/24)</formula>
    </cfRule>
    <cfRule type="expression" dxfId="3405" priority="26">
      <formula>B$9&lt;8/24</formula>
    </cfRule>
  </conditionalFormatting>
  <conditionalFormatting sqref="B11:AF46">
    <cfRule type="expression" dxfId="3404" priority="22">
      <formula>B11&gt;$AG11</formula>
    </cfRule>
  </conditionalFormatting>
  <conditionalFormatting sqref="B46:AF46">
    <cfRule type="expression" dxfId="3403" priority="18">
      <formula>B$9&gt;=20/24</formula>
    </cfRule>
    <cfRule type="expression" dxfId="3402" priority="19">
      <formula>AND(B$9&gt;=14/24,B$9&lt;20/24)</formula>
    </cfRule>
    <cfRule type="expression" dxfId="3401" priority="20">
      <formula>AND(B$9&gt;=8/24,B$9&lt;14/24)</formula>
    </cfRule>
    <cfRule type="expression" dxfId="3400" priority="21">
      <formula>B$9&lt;8/24</formula>
    </cfRule>
  </conditionalFormatting>
  <conditionalFormatting sqref="B47:AF47">
    <cfRule type="expression" dxfId="3399" priority="32">
      <formula>B47&gt;$AG47</formula>
    </cfRule>
  </conditionalFormatting>
  <conditionalFormatting sqref="B47:AF49">
    <cfRule type="expression" dxfId="3398" priority="31">
      <formula>B$9&lt;8/24</formula>
    </cfRule>
    <cfRule type="expression" dxfId="3397" priority="28">
      <formula>B$9&gt;=20/24</formula>
    </cfRule>
    <cfRule type="expression" dxfId="3396" priority="29">
      <formula>AND(B$9&gt;=14/24,B$9&lt;20/24)</formula>
    </cfRule>
    <cfRule type="expression" dxfId="3395" priority="30">
      <formula>AND(B$9&gt;=8/24,B$9&lt;14/24)</formula>
    </cfRule>
  </conditionalFormatting>
  <conditionalFormatting sqref="B48:AF53">
    <cfRule type="expression" dxfId="3394" priority="27">
      <formula>B48&gt;$AG48</formula>
    </cfRule>
  </conditionalFormatting>
  <conditionalFormatting sqref="B51:AF53">
    <cfRule type="expression" dxfId="3393" priority="50">
      <formula>B$9&lt;8/24</formula>
    </cfRule>
    <cfRule type="expression" dxfId="3392" priority="49">
      <formula>AND(B$9&gt;=8/24,B$9&lt;14/24)</formula>
    </cfRule>
    <cfRule type="expression" dxfId="3391" priority="47">
      <formula>B$9&gt;=20/24</formula>
    </cfRule>
    <cfRule type="expression" dxfId="3390" priority="48">
      <formula>AND(B$9&gt;=14/24,B$9&lt;20/24)</formula>
    </cfRule>
  </conditionalFormatting>
  <conditionalFormatting sqref="B61:AF66">
    <cfRule type="expression" dxfId="3389" priority="35">
      <formula>AND(B$9&gt;=14/24,B$9&lt;20/24)</formula>
    </cfRule>
    <cfRule type="expression" dxfId="3388" priority="37">
      <formula>B$9&lt;8/24</formula>
    </cfRule>
    <cfRule type="expression" dxfId="3387" priority="36">
      <formula>AND(B$9&gt;=8/24,B$9&lt;14/24)</formula>
    </cfRule>
    <cfRule type="expression" dxfId="3386" priority="34">
      <formula>B$9&gt;=20/24</formula>
    </cfRule>
  </conditionalFormatting>
  <conditionalFormatting sqref="B69:AF71">
    <cfRule type="expression" dxfId="3385" priority="59">
      <formula>B$9&lt;8/24</formula>
    </cfRule>
    <cfRule type="expression" dxfId="3384" priority="55">
      <formula>B69&gt;$AG69</formula>
    </cfRule>
    <cfRule type="expression" dxfId="3383" priority="56">
      <formula>B$9&gt;=20/24</formula>
    </cfRule>
    <cfRule type="expression" dxfId="3382" priority="57">
      <formula>AND(B$9&gt;=14/24,B$9&lt;20/24)</formula>
    </cfRule>
    <cfRule type="expression" dxfId="3381" priority="58">
      <formula>AND(B$9&gt;=8/24,B$9&lt;14/24)</formula>
    </cfRule>
  </conditionalFormatting>
  <conditionalFormatting sqref="B73:AF91">
    <cfRule type="expression" dxfId="3380" priority="2">
      <formula>AND(B$9&gt;=14/24,B$9&lt;20/24)</formula>
    </cfRule>
    <cfRule type="expression" dxfId="3379" priority="3">
      <formula>AND(B$9&gt;=8/24,B$9&lt;14/24)</formula>
    </cfRule>
    <cfRule type="expression" dxfId="3378" priority="4">
      <formula>B$9&lt;8/24</formula>
    </cfRule>
    <cfRule type="expression" dxfId="3377" priority="1">
      <formula>B$9&gt;=20/24</formula>
    </cfRule>
  </conditionalFormatting>
  <conditionalFormatting sqref="B111:AF120">
    <cfRule type="expression" dxfId="3376" priority="17">
      <formula>B$9&lt;8/24</formula>
    </cfRule>
    <cfRule type="expression" dxfId="3375" priority="14">
      <formula>B$9&gt;=20/24</formula>
    </cfRule>
    <cfRule type="expression" dxfId="3374" priority="15">
      <formula>AND(B$9&gt;=14/24,B$9&lt;20/24)</formula>
    </cfRule>
    <cfRule type="expression" dxfId="3373" priority="16">
      <formula>AND(B$9&gt;=8/24,B$9&lt;14/24)</formula>
    </cfRule>
  </conditionalFormatting>
  <conditionalFormatting sqref="B227:AF227 D229:AF230 B229:B235 D231:H231 J231:AF231 D232:AF235 U248:AF248">
    <cfRule type="expression" dxfId="3372" priority="111">
      <formula>B$9&lt;8/24</formula>
    </cfRule>
    <cfRule type="expression" dxfId="3371" priority="109">
      <formula>AND(B$9&gt;=14/24,B$9&lt;20/24)</formula>
    </cfRule>
    <cfRule type="expression" dxfId="3370" priority="108">
      <formula>B$9&gt;=20/24</formula>
    </cfRule>
    <cfRule type="expression" dxfId="3369" priority="110">
      <formula>AND(B$9&gt;=8/24,B$9&lt;14/24)</formula>
    </cfRule>
  </conditionalFormatting>
  <conditionalFormatting sqref="B67:AG68 B72:AG72">
    <cfRule type="expression" dxfId="3368" priority="42">
      <formula>B67&gt;$AG67</formula>
    </cfRule>
  </conditionalFormatting>
  <conditionalFormatting sqref="B72:AG72 B93:AF109">
    <cfRule type="expression" dxfId="3367" priority="43">
      <formula>B$9&gt;=20/24</formula>
    </cfRule>
    <cfRule type="expression" dxfId="3366" priority="46">
      <formula>B$9&lt;8/24</formula>
    </cfRule>
    <cfRule type="expression" dxfId="3365" priority="45">
      <formula>AND(B$9&gt;=8/24,B$9&lt;14/24)</formula>
    </cfRule>
    <cfRule type="expression" dxfId="3364" priority="44">
      <formula>AND(B$9&gt;=14/24,B$9&lt;20/24)</formula>
    </cfRule>
  </conditionalFormatting>
  <conditionalFormatting sqref="D54:AG54">
    <cfRule type="expression" dxfId="3363" priority="79">
      <formula>AND(D$9&gt;=8/24,D$9&lt;14/24)</formula>
    </cfRule>
    <cfRule type="expression" dxfId="3362" priority="80">
      <formula>D$9&lt;8/24</formula>
    </cfRule>
    <cfRule type="expression" dxfId="3361" priority="76">
      <formula>D54&gt;$AG54</formula>
    </cfRule>
    <cfRule type="expression" dxfId="3360" priority="77">
      <formula>D$9&gt;=20/24</formula>
    </cfRule>
    <cfRule type="expression" dxfId="3359" priority="78">
      <formula>AND(D$9&gt;=14/24,D$9&lt;20/24)</formula>
    </cfRule>
  </conditionalFormatting>
  <conditionalFormatting sqref="M55:AF66">
    <cfRule type="expression" dxfId="3358" priority="5">
      <formula>M55&gt;$AG55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357" priority="114">
      <formula>C$9&gt;=20/24</formula>
    </cfRule>
  </conditionalFormatting>
  <conditionalFormatting sqref="S8">
    <cfRule type="expression" dxfId="3356" priority="101">
      <formula>U$9&gt;=20/24</formula>
    </cfRule>
    <cfRule type="expression" dxfId="3355" priority="102">
      <formula>AND(U$9&gt;=14/24,U$9&lt;20/24)</formula>
    </cfRule>
    <cfRule type="expression" dxfId="3354" priority="103">
      <formula>AND(U$9&gt;=8/24,U$9&lt;14/24)</formula>
    </cfRule>
    <cfRule type="expression" dxfId="3353" priority="104">
      <formula>U$9&lt;8/24</formula>
    </cfRule>
  </conditionalFormatting>
  <conditionalFormatting sqref="T248">
    <cfRule type="expression" dxfId="3352" priority="129">
      <formula>AX$9&lt;8/24</formula>
    </cfRule>
    <cfRule type="expression" dxfId="3351" priority="126">
      <formula>AX$9&gt;=20/24</formula>
    </cfRule>
    <cfRule type="expression" dxfId="3350" priority="127">
      <formula>AND(AX$9&gt;=14/24,AX$9&lt;20/24)</formula>
    </cfRule>
    <cfRule type="expression" dxfId="3349" priority="128">
      <formula>AND(AX$9&gt;=8/24,AX$9&lt;14/24)</formula>
    </cfRule>
  </conditionalFormatting>
  <conditionalFormatting sqref="T55:AF60">
    <cfRule type="expression" dxfId="3348" priority="12">
      <formula>AND(T$9&gt;=8/24,T$9&lt;14/24)</formula>
    </cfRule>
    <cfRule type="expression" dxfId="3347" priority="13">
      <formula>T$9&lt;8/24</formula>
    </cfRule>
    <cfRule type="expression" dxfId="3346" priority="11">
      <formula>AND(T$9&gt;=14/24,T$9&lt;20/24)</formula>
    </cfRule>
    <cfRule type="expression" dxfId="3345" priority="10">
      <formula>T$9&gt;=20/24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344" priority="97">
      <formula>AD$9&gt;=20/24</formula>
    </cfRule>
    <cfRule type="expression" dxfId="3343" priority="98">
      <formula>AND(AD$9&gt;=14/24,AD$9&lt;20/24)</formula>
    </cfRule>
    <cfRule type="expression" dxfId="3342" priority="99">
      <formula>AND(AD$9&gt;=8/24,AD$9&lt;14/24)</formula>
    </cfRule>
    <cfRule type="expression" dxfId="3341" priority="100">
      <formula>AD$9&lt;8/24</formula>
    </cfRule>
  </conditionalFormatting>
  <conditionalFormatting sqref="AE61:AF66">
    <cfRule type="expression" dxfId="3340" priority="6">
      <formula>AE$9&gt;=20/24</formula>
    </cfRule>
    <cfRule type="expression" dxfId="3339" priority="9">
      <formula>AE$9&lt;8/24</formula>
    </cfRule>
    <cfRule type="expression" dxfId="3338" priority="8">
      <formula>AND(AE$9&gt;=8/24,AE$9&lt;14/24)</formula>
    </cfRule>
    <cfRule type="expression" dxfId="3337" priority="7">
      <formula>AND(AE$9&gt;=14/24,AE$9&lt;20/24)</formula>
    </cfRule>
  </conditionalFormatting>
  <conditionalFormatting sqref="AG50">
    <cfRule type="expression" dxfId="3336" priority="84">
      <formula>AG50&gt;$AG50</formula>
    </cfRule>
  </conditionalFormatting>
  <conditionalFormatting sqref="AG89">
    <cfRule type="expression" dxfId="3335" priority="85">
      <formula>AG$9&gt;=20/24</formula>
    </cfRule>
    <cfRule type="expression" dxfId="3334" priority="86">
      <formula>AND(AG$9&gt;=14/24,AG$9&lt;20/24)</formula>
    </cfRule>
    <cfRule type="expression" dxfId="3333" priority="87">
      <formula>AND(AG$9&gt;=8/24,AG$9&lt;14/24)</formula>
    </cfRule>
    <cfRule type="expression" dxfId="3332" priority="88">
      <formula>AG$9&lt;8/24</formula>
    </cfRule>
  </conditionalFormatting>
  <conditionalFormatting sqref="AG248">
    <cfRule type="expression" dxfId="3331" priority="119">
      <formula>AND(B$9&gt;=14/24,B$9&lt;20/24)</formula>
    </cfRule>
    <cfRule type="expression" dxfId="3330" priority="118">
      <formula>B$9&gt;=20/24</formula>
    </cfRule>
    <cfRule type="expression" dxfId="3329" priority="120">
      <formula>AND(B$9&gt;=8/24,B$9&lt;14/24)</formula>
    </cfRule>
    <cfRule type="expression" dxfId="3328" priority="121">
      <formula>B$9&lt;8/24</formula>
    </cfRule>
  </conditionalFormatting>
  <conditionalFormatting sqref="AH248:AX248">
    <cfRule type="expression" dxfId="3327" priority="122">
      <formula>AG$9&gt;=20/24</formula>
    </cfRule>
    <cfRule type="expression" dxfId="3326" priority="123">
      <formula>AND(AG$9&gt;=14/24,AG$9&lt;20/24)</formula>
    </cfRule>
    <cfRule type="expression" dxfId="3325" priority="124">
      <formula>AND(AG$9&gt;=8/24,AG$9&lt;14/24)</formula>
    </cfRule>
    <cfRule type="expression" dxfId="332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323" priority="131">
      <formula>AJ$9&gt;=20/24</formula>
    </cfRule>
    <cfRule type="expression" dxfId="3322" priority="132">
      <formula>AND(AJ$9&gt;=14/24,AJ$9&lt;20/24)</formula>
    </cfRule>
    <cfRule type="expression" dxfId="3321" priority="133">
      <formula>AND(AJ$9&gt;=8/24,AJ$9&lt;14/24)</formula>
    </cfRule>
    <cfRule type="expression" dxfId="3320" priority="134">
      <formula>AJ$9&lt;8/24</formula>
    </cfRule>
  </conditionalFormatting>
  <conditionalFormatting sqref="AL80:AN80 AL86:AN86">
    <cfRule type="expression" dxfId="3319" priority="72">
      <formula>AL$9&gt;=20/24</formula>
    </cfRule>
    <cfRule type="expression" dxfId="3318" priority="73">
      <formula>AND(AL$9&gt;=14/24,AL$9&lt;20/24)</formula>
    </cfRule>
    <cfRule type="expression" dxfId="3317" priority="74">
      <formula>AND(AL$9&gt;=8/24,AL$9&lt;14/24)</formula>
    </cfRule>
    <cfRule type="expression" dxfId="3316" priority="75">
      <formula>AL$9&lt;8/24</formula>
    </cfRule>
  </conditionalFormatting>
  <conditionalFormatting sqref="AN81:AN84">
    <cfRule type="expression" dxfId="3315" priority="68">
      <formula>AN$9&gt;=20/24</formula>
    </cfRule>
    <cfRule type="expression" dxfId="3314" priority="69">
      <formula>AND(AN$9&gt;=14/24,AN$9&lt;20/24)</formula>
    </cfRule>
    <cfRule type="expression" dxfId="3313" priority="70">
      <formula>AND(AN$9&gt;=8/24,AN$9&lt;14/24)</formula>
    </cfRule>
    <cfRule type="expression" dxfId="331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D4C9A-3954-4192-8E96-FE8D2B2723A0}">
  <sheetPr codeName="Sheet8"/>
  <dimension ref="A1:CJ281"/>
  <sheetViews>
    <sheetView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F73" activeCellId="9" sqref="B73:G73 I73 K73 M73:V73 X73 Z73 AB73 AD73 AE73 AF7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.140625" style="1" customWidth="1"/>
    <col min="12" max="12" width="7.42578125" style="1" customWidth="1"/>
    <col min="13" max="13" width="7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2080/05/6</v>
      </c>
      <c r="C4" s="196"/>
      <c r="D4" s="196"/>
      <c r="E4" s="197" t="str">
        <f ca="1">"2080/"&amp;"05/"&amp;INT(MID(CELL("filename",G6),FIND("]",CELL("filename",G6))+1,200))</f>
        <v>2080/05/6</v>
      </c>
      <c r="F4" s="197"/>
      <c r="G4" s="197"/>
      <c r="H4" s="197" t="str">
        <f ca="1">TEXT(E4,"dddd")</f>
        <v>Monday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18</v>
      </c>
      <c r="O5" s="30">
        <f t="shared" si="0"/>
        <v>0</v>
      </c>
      <c r="P5" s="30">
        <f t="shared" si="0"/>
        <v>0</v>
      </c>
      <c r="Q5" s="30">
        <f t="shared" si="0"/>
        <v>14.6</v>
      </c>
      <c r="R5" s="30">
        <f t="shared" si="0"/>
        <v>0</v>
      </c>
      <c r="S5" s="30">
        <f t="shared" si="0"/>
        <v>15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11</v>
      </c>
      <c r="X5" s="30">
        <f t="shared" si="0"/>
        <v>10.6</v>
      </c>
      <c r="Y5" s="30">
        <f t="shared" si="0"/>
        <v>26.7</v>
      </c>
      <c r="Z5" s="30">
        <f t="shared" si="0"/>
        <v>2.1</v>
      </c>
      <c r="AA5" s="30">
        <f t="shared" si="0"/>
        <v>2.2999999999999998</v>
      </c>
      <c r="AB5" s="30">
        <f t="shared" si="0"/>
        <v>3</v>
      </c>
      <c r="AC5" s="30">
        <f t="shared" si="0"/>
        <v>1.9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1927MW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Load=1836</v>
      </c>
      <c r="B7" s="35">
        <f t="shared" ref="B7:AF7" si="1">B91</f>
        <v>1873.74</v>
      </c>
      <c r="C7" s="35">
        <f t="shared" si="1"/>
        <v>1873.74</v>
      </c>
      <c r="D7" s="35">
        <f t="shared" si="1"/>
        <v>1873.74</v>
      </c>
      <c r="E7" s="35">
        <f t="shared" si="1"/>
        <v>1873.74</v>
      </c>
      <c r="F7" s="35">
        <f t="shared" si="1"/>
        <v>1873.74</v>
      </c>
      <c r="G7" s="35">
        <f t="shared" si="1"/>
        <v>1873.74</v>
      </c>
      <c r="H7" s="35">
        <f t="shared" si="1"/>
        <v>1873.74</v>
      </c>
      <c r="I7" s="35">
        <f t="shared" si="1"/>
        <v>1873.74</v>
      </c>
      <c r="J7" s="35">
        <f t="shared" si="1"/>
        <v>1873.74</v>
      </c>
      <c r="K7" s="35">
        <f t="shared" si="1"/>
        <v>1841.1399999999999</v>
      </c>
      <c r="L7" s="35">
        <f t="shared" si="1"/>
        <v>1922.2400000000002</v>
      </c>
      <c r="M7" s="35">
        <f t="shared" si="1"/>
        <v>1926.7400000000002</v>
      </c>
      <c r="N7" s="35">
        <f>N91</f>
        <v>1909.2399999999998</v>
      </c>
      <c r="O7" s="35">
        <f t="shared" si="1"/>
        <v>1915.4399999999998</v>
      </c>
      <c r="P7" s="35">
        <f t="shared" si="1"/>
        <v>1876.94</v>
      </c>
      <c r="Q7" s="35">
        <f t="shared" si="1"/>
        <v>1857.8400000000001</v>
      </c>
      <c r="R7" s="35">
        <f t="shared" si="1"/>
        <v>1861.24</v>
      </c>
      <c r="S7" s="35">
        <f t="shared" si="1"/>
        <v>1837.64</v>
      </c>
      <c r="T7" s="35">
        <f t="shared" si="1"/>
        <v>1836.5400000000002</v>
      </c>
      <c r="U7" s="35">
        <f t="shared" si="1"/>
        <v>1865.14</v>
      </c>
      <c r="V7" s="35">
        <f t="shared" si="1"/>
        <v>1865.2400000000002</v>
      </c>
      <c r="W7" s="35">
        <f t="shared" si="1"/>
        <v>1836.14</v>
      </c>
      <c r="X7" s="35">
        <f t="shared" si="1"/>
        <v>1843.64</v>
      </c>
      <c r="Y7" s="35">
        <f t="shared" si="1"/>
        <v>1916.74</v>
      </c>
      <c r="Z7" s="35">
        <f t="shared" si="1"/>
        <v>1926.3400000000001</v>
      </c>
      <c r="AA7" s="35">
        <f t="shared" si="1"/>
        <v>1963.0400000000002</v>
      </c>
      <c r="AB7" s="35">
        <f t="shared" si="1"/>
        <v>1975.3400000000001</v>
      </c>
      <c r="AC7" s="35">
        <f t="shared" si="1"/>
        <v>1949.14</v>
      </c>
      <c r="AD7" s="35">
        <f t="shared" si="1"/>
        <v>1948.4400000000003</v>
      </c>
      <c r="AE7" s="35">
        <f t="shared" si="1"/>
        <v>1941.54</v>
      </c>
      <c r="AF7" s="35">
        <f t="shared" si="1"/>
        <v>1884.14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</v>
      </c>
      <c r="C11" s="45">
        <v>86</v>
      </c>
      <c r="D11" s="45">
        <v>86</v>
      </c>
      <c r="E11" s="45">
        <v>86</v>
      </c>
      <c r="F11" s="45">
        <v>86</v>
      </c>
      <c r="G11" s="45">
        <v>86</v>
      </c>
      <c r="H11" s="45">
        <v>86</v>
      </c>
      <c r="I11" s="45">
        <v>86</v>
      </c>
      <c r="J11" s="45">
        <v>86</v>
      </c>
      <c r="K11" s="45">
        <v>86</v>
      </c>
      <c r="L11" s="45">
        <v>86</v>
      </c>
      <c r="M11" s="45">
        <v>86</v>
      </c>
      <c r="N11" s="45">
        <v>86</v>
      </c>
      <c r="O11" s="45">
        <v>86</v>
      </c>
      <c r="P11" s="45">
        <v>86</v>
      </c>
      <c r="Q11" s="45">
        <v>86</v>
      </c>
      <c r="R11" s="45">
        <v>86</v>
      </c>
      <c r="S11" s="45">
        <v>86</v>
      </c>
      <c r="T11" s="45">
        <v>86</v>
      </c>
      <c r="U11" s="45">
        <v>86</v>
      </c>
      <c r="V11" s="45">
        <v>86</v>
      </c>
      <c r="W11" s="45">
        <v>86</v>
      </c>
      <c r="X11" s="45">
        <v>76.400000000000006</v>
      </c>
      <c r="Y11" s="45">
        <v>76.400000000000006</v>
      </c>
      <c r="Z11" s="45">
        <v>76.400000000000006</v>
      </c>
      <c r="AA11" s="45">
        <v>76.400000000000006</v>
      </c>
      <c r="AB11" s="45">
        <v>76.900000000000006</v>
      </c>
      <c r="AC11" s="45">
        <v>86.4</v>
      </c>
      <c r="AD11" s="45">
        <v>86.4</v>
      </c>
      <c r="AE11" s="45">
        <v>86.4</v>
      </c>
      <c r="AF11" s="45">
        <v>86.4</v>
      </c>
      <c r="AG11" s="46">
        <v>86</v>
      </c>
      <c r="AH11" s="47">
        <f t="shared" ref="AH11:AH76" si="2">MAX(B11:AF11)</f>
        <v>86.4</v>
      </c>
      <c r="AI11" s="48">
        <f t="shared" ref="AI11:AI76" si="3">MIN(B11:AF11)</f>
        <v>76.400000000000006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8</v>
      </c>
      <c r="K12" s="45">
        <v>8</v>
      </c>
      <c r="L12" s="45">
        <v>8</v>
      </c>
      <c r="M12" s="45">
        <v>8</v>
      </c>
      <c r="N12" s="45">
        <v>0</v>
      </c>
      <c r="O12" s="45">
        <v>0</v>
      </c>
      <c r="P12" s="45">
        <v>5</v>
      </c>
      <c r="Q12" s="45">
        <v>5</v>
      </c>
      <c r="R12" s="45">
        <v>5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9</v>
      </c>
      <c r="Y12" s="45">
        <v>9</v>
      </c>
      <c r="Z12" s="45">
        <v>9</v>
      </c>
      <c r="AA12" s="45">
        <v>9</v>
      </c>
      <c r="AB12" s="45">
        <v>10</v>
      </c>
      <c r="AC12" s="45">
        <v>0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10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54.6</v>
      </c>
      <c r="C13" s="45">
        <v>54.6</v>
      </c>
      <c r="D13" s="45">
        <v>54.6</v>
      </c>
      <c r="E13" s="45">
        <v>54.6</v>
      </c>
      <c r="F13" s="45">
        <v>54.6</v>
      </c>
      <c r="G13" s="45">
        <v>54.6</v>
      </c>
      <c r="H13" s="45">
        <v>54.6</v>
      </c>
      <c r="I13" s="45">
        <v>54.6</v>
      </c>
      <c r="J13" s="45">
        <v>54.6</v>
      </c>
      <c r="K13" s="45">
        <v>54.6</v>
      </c>
      <c r="L13" s="45">
        <v>54.6</v>
      </c>
      <c r="M13" s="45">
        <v>54.6</v>
      </c>
      <c r="N13" s="45">
        <v>54.6</v>
      </c>
      <c r="O13" s="45">
        <v>54.6</v>
      </c>
      <c r="P13" s="45">
        <v>54.6</v>
      </c>
      <c r="Q13" s="45">
        <v>54.6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54.6</v>
      </c>
      <c r="X13" s="45">
        <v>54.6</v>
      </c>
      <c r="Y13" s="45">
        <v>54.6</v>
      </c>
      <c r="Z13" s="45">
        <v>54.6</v>
      </c>
      <c r="AA13" s="45">
        <v>54.6</v>
      </c>
      <c r="AB13" s="45">
        <v>54.8</v>
      </c>
      <c r="AC13" s="45">
        <v>54.8</v>
      </c>
      <c r="AD13" s="45">
        <v>54.8</v>
      </c>
      <c r="AE13" s="45">
        <v>54.8</v>
      </c>
      <c r="AF13" s="45">
        <v>54.9</v>
      </c>
      <c r="AG13" s="46">
        <v>52.4</v>
      </c>
      <c r="AH13" s="47">
        <f t="shared" si="2"/>
        <v>54.9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50.5</v>
      </c>
      <c r="AG14" s="49">
        <v>50</v>
      </c>
      <c r="AH14" s="47">
        <f t="shared" si="2"/>
        <v>50.6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40.799999999999997</v>
      </c>
      <c r="K15" s="45">
        <v>40.799999999999997</v>
      </c>
      <c r="L15" s="45">
        <v>46</v>
      </c>
      <c r="M15" s="45">
        <v>46</v>
      </c>
      <c r="N15" s="45">
        <v>37.299999999999997</v>
      </c>
      <c r="O15" s="45">
        <v>37.299999999999997</v>
      </c>
      <c r="P15" s="45">
        <v>37.299999999999997</v>
      </c>
      <c r="Q15" s="45">
        <v>37.299999999999997</v>
      </c>
      <c r="R15" s="45">
        <v>37.299999999999997</v>
      </c>
      <c r="S15" s="45">
        <v>37.299999999999997</v>
      </c>
      <c r="T15" s="45">
        <v>37.299999999999997</v>
      </c>
      <c r="U15" s="45">
        <v>37.299999999999997</v>
      </c>
      <c r="V15" s="45">
        <v>37.299999999999997</v>
      </c>
      <c r="W15" s="45">
        <v>37.299999999999997</v>
      </c>
      <c r="X15" s="45">
        <v>37.299999999999997</v>
      </c>
      <c r="Y15" s="45">
        <v>45</v>
      </c>
      <c r="Z15" s="45">
        <v>45</v>
      </c>
      <c r="AA15" s="45">
        <v>45</v>
      </c>
      <c r="AB15" s="45">
        <v>45</v>
      </c>
      <c r="AC15" s="45">
        <v>45</v>
      </c>
      <c r="AD15" s="45">
        <v>45</v>
      </c>
      <c r="AE15" s="45">
        <v>45</v>
      </c>
      <c r="AF15" s="45">
        <v>45</v>
      </c>
      <c r="AG15" s="49">
        <v>45</v>
      </c>
      <c r="AH15" s="47">
        <f t="shared" si="2"/>
        <v>46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27</v>
      </c>
      <c r="Q17" s="45">
        <v>27</v>
      </c>
      <c r="R17" s="45">
        <v>27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0</v>
      </c>
      <c r="Y17" s="45">
        <v>0</v>
      </c>
      <c r="Z17" s="45">
        <v>0</v>
      </c>
      <c r="AA17" s="45">
        <v>0</v>
      </c>
      <c r="AB17" s="45">
        <v>24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20</v>
      </c>
      <c r="C18" s="45">
        <v>20</v>
      </c>
      <c r="D18" s="45">
        <v>20</v>
      </c>
      <c r="E18" s="45">
        <v>20</v>
      </c>
      <c r="F18" s="45">
        <v>20</v>
      </c>
      <c r="G18" s="45">
        <v>20</v>
      </c>
      <c r="H18" s="45">
        <v>20</v>
      </c>
      <c r="I18" s="45">
        <v>20</v>
      </c>
      <c r="J18" s="45">
        <v>20</v>
      </c>
      <c r="K18" s="45">
        <v>20</v>
      </c>
      <c r="L18" s="45">
        <v>20</v>
      </c>
      <c r="M18" s="45">
        <v>20</v>
      </c>
      <c r="N18" s="45">
        <v>20</v>
      </c>
      <c r="O18" s="45">
        <v>20</v>
      </c>
      <c r="P18" s="45">
        <v>20</v>
      </c>
      <c r="Q18" s="45">
        <v>20</v>
      </c>
      <c r="R18" s="45">
        <v>20</v>
      </c>
      <c r="S18" s="45">
        <v>38</v>
      </c>
      <c r="T18" s="45">
        <v>0</v>
      </c>
      <c r="U18" s="45">
        <v>0</v>
      </c>
      <c r="V18" s="45">
        <v>0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5</v>
      </c>
      <c r="K20" s="45">
        <v>5</v>
      </c>
      <c r="L20" s="45">
        <v>5</v>
      </c>
      <c r="M20" s="45">
        <v>5</v>
      </c>
      <c r="N20" s="45">
        <v>5</v>
      </c>
      <c r="O20" s="45">
        <v>0</v>
      </c>
      <c r="P20" s="45">
        <v>5</v>
      </c>
      <c r="Q20" s="45">
        <v>5</v>
      </c>
      <c r="R20" s="45">
        <v>5</v>
      </c>
      <c r="S20" s="45">
        <v>0</v>
      </c>
      <c r="T20" s="45">
        <v>0</v>
      </c>
      <c r="U20" s="45">
        <v>0</v>
      </c>
      <c r="V20" s="45">
        <v>0</v>
      </c>
      <c r="W20" s="45">
        <v>5</v>
      </c>
      <c r="X20" s="45">
        <v>15</v>
      </c>
      <c r="Y20" s="45">
        <v>10</v>
      </c>
      <c r="Z20" s="45">
        <v>10</v>
      </c>
      <c r="AA20" s="45">
        <v>10</v>
      </c>
      <c r="AB20" s="45">
        <v>5</v>
      </c>
      <c r="AC20" s="45">
        <v>0</v>
      </c>
      <c r="AD20" s="45">
        <v>0</v>
      </c>
      <c r="AE20" s="45">
        <v>0</v>
      </c>
      <c r="AF20" s="45">
        <v>0</v>
      </c>
      <c r="AG20" s="51">
        <v>30</v>
      </c>
      <c r="AH20" s="47">
        <f t="shared" si="2"/>
        <v>15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20.8</v>
      </c>
      <c r="C21" s="45">
        <v>20.8</v>
      </c>
      <c r="D21" s="45">
        <v>20.8</v>
      </c>
      <c r="E21" s="45">
        <v>20.8</v>
      </c>
      <c r="F21" s="45">
        <v>20.8</v>
      </c>
      <c r="G21" s="45">
        <v>20.8</v>
      </c>
      <c r="H21" s="45">
        <v>20.8</v>
      </c>
      <c r="I21" s="45">
        <v>20.8</v>
      </c>
      <c r="J21" s="45">
        <v>20.8</v>
      </c>
      <c r="K21" s="45">
        <v>20.8</v>
      </c>
      <c r="L21" s="45">
        <v>20.8</v>
      </c>
      <c r="M21" s="45">
        <v>20.8</v>
      </c>
      <c r="N21" s="45">
        <v>20.8</v>
      </c>
      <c r="O21" s="45">
        <v>20.8</v>
      </c>
      <c r="P21" s="45">
        <v>29</v>
      </c>
      <c r="Q21" s="45">
        <v>29</v>
      </c>
      <c r="R21" s="45">
        <v>29</v>
      </c>
      <c r="S21" s="45">
        <v>29</v>
      </c>
      <c r="T21" s="45">
        <v>29</v>
      </c>
      <c r="U21" s="45">
        <v>29</v>
      </c>
      <c r="V21" s="45">
        <v>29</v>
      </c>
      <c r="W21" s="45">
        <v>0</v>
      </c>
      <c r="X21" s="45">
        <v>0</v>
      </c>
      <c r="Y21" s="45">
        <v>0</v>
      </c>
      <c r="Z21" s="45">
        <v>0</v>
      </c>
      <c r="AA21" s="45">
        <v>33</v>
      </c>
      <c r="AB21" s="45">
        <v>30.5</v>
      </c>
      <c r="AC21" s="45">
        <v>25</v>
      </c>
      <c r="AD21" s="45">
        <v>25</v>
      </c>
      <c r="AE21" s="45">
        <v>25</v>
      </c>
      <c r="AF21" s="45">
        <v>25</v>
      </c>
      <c r="AG21" s="49">
        <v>24.2</v>
      </c>
      <c r="AH21" s="47">
        <f t="shared" si="2"/>
        <v>33</v>
      </c>
      <c r="AI21" s="48">
        <f t="shared" si="3"/>
        <v>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20.9</v>
      </c>
      <c r="C22" s="45">
        <v>20.9</v>
      </c>
      <c r="D22" s="45">
        <v>20.9</v>
      </c>
      <c r="E22" s="45">
        <v>20.9</v>
      </c>
      <c r="F22" s="45">
        <v>20.9</v>
      </c>
      <c r="G22" s="45">
        <v>20.9</v>
      </c>
      <c r="H22" s="45">
        <v>20.9</v>
      </c>
      <c r="I22" s="45">
        <v>20.9</v>
      </c>
      <c r="J22" s="45">
        <v>20.9</v>
      </c>
      <c r="K22" s="45">
        <v>20.9</v>
      </c>
      <c r="L22" s="45">
        <v>20.9</v>
      </c>
      <c r="M22" s="45">
        <v>20.9</v>
      </c>
      <c r="N22" s="45">
        <v>20.9</v>
      </c>
      <c r="O22" s="45">
        <v>20.9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0</v>
      </c>
      <c r="X22" s="45">
        <v>0</v>
      </c>
      <c r="Y22" s="45">
        <v>0</v>
      </c>
      <c r="Z22" s="45">
        <v>0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28.5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5</v>
      </c>
      <c r="K23" s="45">
        <v>5</v>
      </c>
      <c r="L23" s="45">
        <v>5</v>
      </c>
      <c r="M23" s="45">
        <v>5</v>
      </c>
      <c r="N23" s="45">
        <v>5</v>
      </c>
      <c r="O23" s="45">
        <v>0</v>
      </c>
      <c r="P23" s="45">
        <v>5</v>
      </c>
      <c r="Q23" s="45">
        <v>5</v>
      </c>
      <c r="R23" s="45">
        <v>5</v>
      </c>
      <c r="S23" s="45">
        <v>0</v>
      </c>
      <c r="T23" s="45">
        <v>0</v>
      </c>
      <c r="U23" s="45">
        <v>0</v>
      </c>
      <c r="V23" s="45">
        <v>0</v>
      </c>
      <c r="W23" s="45">
        <v>3</v>
      </c>
      <c r="X23" s="45">
        <v>9</v>
      </c>
      <c r="Y23" s="45">
        <v>9</v>
      </c>
      <c r="Z23" s="45">
        <v>9</v>
      </c>
      <c r="AA23" s="45">
        <v>9</v>
      </c>
      <c r="AB23" s="45">
        <v>4.5</v>
      </c>
      <c r="AC23" s="45">
        <v>0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9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</v>
      </c>
      <c r="C24" s="45">
        <v>24</v>
      </c>
      <c r="D24" s="45">
        <v>24</v>
      </c>
      <c r="E24" s="45">
        <v>24</v>
      </c>
      <c r="F24" s="45">
        <v>24</v>
      </c>
      <c r="G24" s="45">
        <v>24</v>
      </c>
      <c r="H24" s="45">
        <v>24</v>
      </c>
      <c r="I24" s="45">
        <v>24</v>
      </c>
      <c r="J24" s="45">
        <v>24</v>
      </c>
      <c r="K24" s="45">
        <v>24</v>
      </c>
      <c r="L24" s="45">
        <v>24</v>
      </c>
      <c r="M24" s="45">
        <v>24</v>
      </c>
      <c r="N24" s="45">
        <v>24</v>
      </c>
      <c r="O24" s="45">
        <v>24</v>
      </c>
      <c r="P24" s="45">
        <v>24.6</v>
      </c>
      <c r="Q24" s="45">
        <v>24.6</v>
      </c>
      <c r="R24" s="45">
        <v>24.6</v>
      </c>
      <c r="S24" s="45">
        <v>24.6</v>
      </c>
      <c r="T24" s="45">
        <v>24.6</v>
      </c>
      <c r="U24" s="45">
        <v>24.6</v>
      </c>
      <c r="V24" s="45">
        <v>24.6</v>
      </c>
      <c r="W24" s="45">
        <v>24.6</v>
      </c>
      <c r="X24" s="45">
        <v>24.6</v>
      </c>
      <c r="Y24" s="45">
        <v>24.6</v>
      </c>
      <c r="Z24" s="45">
        <v>24.6</v>
      </c>
      <c r="AA24" s="45">
        <v>24.6</v>
      </c>
      <c r="AB24" s="45">
        <v>24.2</v>
      </c>
      <c r="AC24" s="45">
        <v>24.2</v>
      </c>
      <c r="AD24" s="45">
        <v>24.2</v>
      </c>
      <c r="AE24" s="45">
        <v>24.2</v>
      </c>
      <c r="AF24" s="45">
        <v>24.2</v>
      </c>
      <c r="AG24" s="49">
        <v>25</v>
      </c>
      <c r="AH24" s="47">
        <f t="shared" si="2"/>
        <v>24.6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20</v>
      </c>
      <c r="C26" s="45">
        <v>20</v>
      </c>
      <c r="D26" s="45">
        <v>20</v>
      </c>
      <c r="E26" s="45">
        <v>20</v>
      </c>
      <c r="F26" s="45">
        <v>20</v>
      </c>
      <c r="G26" s="45">
        <v>20</v>
      </c>
      <c r="H26" s="45">
        <v>20</v>
      </c>
      <c r="I26" s="45">
        <v>20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5</v>
      </c>
      <c r="K27" s="45">
        <v>5</v>
      </c>
      <c r="L27" s="45">
        <v>5</v>
      </c>
      <c r="M27" s="45">
        <v>5</v>
      </c>
      <c r="N27" s="45">
        <v>0</v>
      </c>
      <c r="O27" s="45">
        <v>0</v>
      </c>
      <c r="P27" s="45">
        <v>4</v>
      </c>
      <c r="Q27" s="45">
        <v>4</v>
      </c>
      <c r="R27" s="45">
        <v>4</v>
      </c>
      <c r="S27" s="45">
        <v>0</v>
      </c>
      <c r="T27" s="45">
        <v>0</v>
      </c>
      <c r="U27" s="45">
        <v>0</v>
      </c>
      <c r="V27" s="45">
        <v>0</v>
      </c>
      <c r="W27" s="45">
        <v>3</v>
      </c>
      <c r="X27" s="45">
        <v>12.5</v>
      </c>
      <c r="Y27" s="45">
        <v>8.5</v>
      </c>
      <c r="Z27" s="45">
        <v>8.5</v>
      </c>
      <c r="AA27" s="45">
        <v>8.5</v>
      </c>
      <c r="AB27" s="45">
        <v>4.5</v>
      </c>
      <c r="AC27" s="45">
        <v>0</v>
      </c>
      <c r="AD27" s="45">
        <v>0</v>
      </c>
      <c r="AE27" s="45">
        <v>0</v>
      </c>
      <c r="AF27" s="45">
        <v>0</v>
      </c>
      <c r="AG27" s="49">
        <v>25</v>
      </c>
      <c r="AH27" s="47">
        <f t="shared" si="2"/>
        <v>12.5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25.3</v>
      </c>
      <c r="E28" s="45">
        <v>25.3</v>
      </c>
      <c r="F28" s="45">
        <v>25.3</v>
      </c>
      <c r="G28" s="45">
        <v>25.3</v>
      </c>
      <c r="H28" s="45">
        <v>25.3</v>
      </c>
      <c r="I28" s="45">
        <v>25.3</v>
      </c>
      <c r="J28" s="45">
        <v>25.3</v>
      </c>
      <c r="K28" s="45">
        <v>25.3</v>
      </c>
      <c r="L28" s="45">
        <v>25.3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25.1</v>
      </c>
      <c r="AC28" s="45">
        <v>25.1</v>
      </c>
      <c r="AD28" s="45">
        <v>25.1</v>
      </c>
      <c r="AE28" s="45">
        <v>25.1</v>
      </c>
      <c r="AF28" s="45">
        <v>25.1</v>
      </c>
      <c r="AG28" s="49">
        <v>23.5</v>
      </c>
      <c r="AH28" s="47">
        <f t="shared" si="2"/>
        <v>25.3</v>
      </c>
      <c r="AI28" s="48">
        <f t="shared" si="3"/>
        <v>25.1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5</v>
      </c>
      <c r="Q33" s="45">
        <v>5</v>
      </c>
      <c r="R33" s="45">
        <v>5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4</v>
      </c>
      <c r="Z33" s="45">
        <v>4</v>
      </c>
      <c r="AA33" s="45">
        <v>4</v>
      </c>
      <c r="AB33" s="45">
        <v>4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5</v>
      </c>
      <c r="K34" s="45">
        <v>5</v>
      </c>
      <c r="L34" s="45">
        <v>5</v>
      </c>
      <c r="M34" s="45">
        <v>5</v>
      </c>
      <c r="N34" s="45">
        <v>0</v>
      </c>
      <c r="O34" s="45">
        <v>0</v>
      </c>
      <c r="P34" s="45">
        <v>4</v>
      </c>
      <c r="Q34" s="45">
        <v>4</v>
      </c>
      <c r="R34" s="45">
        <v>4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4</v>
      </c>
      <c r="Z34" s="45">
        <v>4</v>
      </c>
      <c r="AA34" s="45">
        <v>4</v>
      </c>
      <c r="AB34" s="45">
        <v>4</v>
      </c>
      <c r="AC34" s="45">
        <v>0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8</v>
      </c>
      <c r="C35" s="45">
        <v>8</v>
      </c>
      <c r="D35" s="45">
        <v>8</v>
      </c>
      <c r="E35" s="45">
        <v>8</v>
      </c>
      <c r="F35" s="45">
        <v>8</v>
      </c>
      <c r="G35" s="45">
        <v>8</v>
      </c>
      <c r="H35" s="45">
        <v>8</v>
      </c>
      <c r="I35" s="45">
        <v>8</v>
      </c>
      <c r="J35" s="45">
        <v>8</v>
      </c>
      <c r="K35" s="45">
        <v>8</v>
      </c>
      <c r="L35" s="45">
        <v>8</v>
      </c>
      <c r="M35" s="45">
        <v>8</v>
      </c>
      <c r="N35" s="45">
        <v>8</v>
      </c>
      <c r="O35" s="45">
        <v>8</v>
      </c>
      <c r="P35" s="45">
        <v>8</v>
      </c>
      <c r="Q35" s="45">
        <v>8</v>
      </c>
      <c r="R35" s="45">
        <v>8</v>
      </c>
      <c r="S35" s="45">
        <v>8</v>
      </c>
      <c r="T35" s="45">
        <v>0</v>
      </c>
      <c r="U35" s="45">
        <v>0</v>
      </c>
      <c r="V35" s="45">
        <v>0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2</v>
      </c>
      <c r="X39" s="45">
        <v>2</v>
      </c>
      <c r="Y39" s="45">
        <v>2</v>
      </c>
      <c r="Z39" s="45">
        <v>2</v>
      </c>
      <c r="AA39" s="45">
        <v>2</v>
      </c>
      <c r="AB39" s="45">
        <v>2</v>
      </c>
      <c r="AC39" s="45">
        <v>0</v>
      </c>
      <c r="AD39" s="45">
        <v>0</v>
      </c>
      <c r="AE39" s="45">
        <v>0</v>
      </c>
      <c r="AF39" s="45">
        <v>0</v>
      </c>
      <c r="AG39" s="49">
        <v>12</v>
      </c>
      <c r="AH39" s="47">
        <f t="shared" si="2"/>
        <v>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104.3</v>
      </c>
      <c r="C49" s="56">
        <v>104.3</v>
      </c>
      <c r="D49" s="56">
        <v>104.3</v>
      </c>
      <c r="E49" s="56">
        <v>104.3</v>
      </c>
      <c r="F49" s="56">
        <v>104.3</v>
      </c>
      <c r="G49" s="56">
        <v>104.3</v>
      </c>
      <c r="H49" s="56">
        <v>104.3</v>
      </c>
      <c r="I49" s="56">
        <v>104.3</v>
      </c>
      <c r="J49" s="56">
        <v>104.3</v>
      </c>
      <c r="K49" s="56">
        <v>104.3</v>
      </c>
      <c r="L49" s="56">
        <v>104.3</v>
      </c>
      <c r="M49" s="58">
        <v>109.6</v>
      </c>
      <c r="N49" s="58">
        <v>109.6</v>
      </c>
      <c r="O49" s="58">
        <v>109.6</v>
      </c>
      <c r="P49" s="58">
        <v>106.8</v>
      </c>
      <c r="Q49" s="58">
        <v>106.8</v>
      </c>
      <c r="R49" s="58">
        <v>106.8</v>
      </c>
      <c r="S49" s="58">
        <v>106.8</v>
      </c>
      <c r="T49" s="58">
        <v>107</v>
      </c>
      <c r="U49" s="58">
        <v>107</v>
      </c>
      <c r="V49" s="58">
        <v>107</v>
      </c>
      <c r="W49" s="58">
        <v>107</v>
      </c>
      <c r="X49" s="58">
        <v>107</v>
      </c>
      <c r="Y49" s="58">
        <v>107</v>
      </c>
      <c r="Z49" s="58">
        <v>107</v>
      </c>
      <c r="AA49" s="56">
        <v>107</v>
      </c>
      <c r="AB49" s="56">
        <f>80.4+26.5</f>
        <v>106.9</v>
      </c>
      <c r="AC49" s="56">
        <f>81.4+26.9</f>
        <v>108.30000000000001</v>
      </c>
      <c r="AD49" s="56">
        <f>81.8+27.3</f>
        <v>109.1</v>
      </c>
      <c r="AE49" s="56">
        <f>27.2+80.7</f>
        <v>107.9</v>
      </c>
      <c r="AF49" s="56">
        <f>27.2+80.7</f>
        <v>107.9</v>
      </c>
      <c r="AG49" s="54">
        <v>240</v>
      </c>
      <c r="AH49" s="47">
        <f t="shared" si="2"/>
        <v>109.6</v>
      </c>
      <c r="AI49" s="48">
        <f t="shared" si="3"/>
        <v>104.3</v>
      </c>
      <c r="AK49" s="50"/>
    </row>
    <row r="50" spans="1:41" ht="15.75" thickBot="1" x14ac:dyDescent="0.3">
      <c r="A50" s="59" t="s">
        <v>58</v>
      </c>
      <c r="B50" s="60">
        <v>1024.5999999999999</v>
      </c>
      <c r="C50" s="60">
        <v>1024.5999999999999</v>
      </c>
      <c r="D50" s="60">
        <v>1024.5999999999999</v>
      </c>
      <c r="E50" s="60">
        <v>1024.5999999999999</v>
      </c>
      <c r="F50" s="60">
        <v>1024.5999999999999</v>
      </c>
      <c r="G50" s="60">
        <v>1024.5999999999999</v>
      </c>
      <c r="H50" s="60">
        <v>1024.5999999999999</v>
      </c>
      <c r="I50" s="60">
        <v>1024.5999999999999</v>
      </c>
      <c r="J50" s="60">
        <v>1024.5999999999999</v>
      </c>
      <c r="K50" s="60">
        <v>1024.5999999999999</v>
      </c>
      <c r="L50" s="60">
        <f t="shared" ref="L50:AD50" si="4">SUM(L11:L48)</f>
        <v>1017.5</v>
      </c>
      <c r="M50" s="60">
        <f t="shared" si="4"/>
        <v>1017.5</v>
      </c>
      <c r="N50" s="60">
        <f>SUM(N11:N48)</f>
        <v>990.8</v>
      </c>
      <c r="O50" s="60">
        <f t="shared" si="4"/>
        <v>980.8</v>
      </c>
      <c r="P50" s="60">
        <f t="shared" si="4"/>
        <v>1024.4000000000001</v>
      </c>
      <c r="Q50" s="60">
        <f t="shared" si="4"/>
        <v>1024.4000000000001</v>
      </c>
      <c r="R50" s="60">
        <f t="shared" si="4"/>
        <v>1024.4000000000001</v>
      </c>
      <c r="S50" s="60">
        <f t="shared" si="4"/>
        <v>1015.4000000000001</v>
      </c>
      <c r="T50" s="60">
        <f t="shared" si="4"/>
        <v>969.40000000000009</v>
      </c>
      <c r="U50" s="60">
        <f>SUM(U11:U48)</f>
        <v>969.40000000000009</v>
      </c>
      <c r="V50" s="60">
        <f>SUM(V11:V48)</f>
        <v>969.40000000000009</v>
      </c>
      <c r="W50" s="60">
        <f t="shared" si="4"/>
        <v>977.90000000000009</v>
      </c>
      <c r="X50" s="60">
        <f t="shared" si="4"/>
        <v>974.8</v>
      </c>
      <c r="Y50" s="60">
        <f t="shared" si="4"/>
        <v>981.5</v>
      </c>
      <c r="Z50" s="60">
        <f t="shared" si="4"/>
        <v>981.5</v>
      </c>
      <c r="AA50" s="60">
        <f t="shared" si="4"/>
        <v>1042.8000000000002</v>
      </c>
      <c r="AB50" s="60">
        <f t="shared" si="4"/>
        <v>1051.9000000000001</v>
      </c>
      <c r="AC50" s="60">
        <f t="shared" si="4"/>
        <v>1025.9000000000001</v>
      </c>
      <c r="AD50" s="60">
        <f t="shared" si="4"/>
        <v>1025.9000000000001</v>
      </c>
      <c r="AE50" s="60">
        <f>SUM(AE11:AE48)</f>
        <v>1025.9000000000001</v>
      </c>
      <c r="AF50" s="60">
        <f>SUM(AF11:AF48)</f>
        <v>1025.9000000000001</v>
      </c>
      <c r="AG50" s="61">
        <f>SUM(AG13:AG48)</f>
        <v>922.14</v>
      </c>
      <c r="AH50" s="47">
        <f t="shared" si="2"/>
        <v>1051.9000000000001</v>
      </c>
      <c r="AI50" s="48">
        <f t="shared" si="3"/>
        <v>969.40000000000009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17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175">
        <v>456</v>
      </c>
      <c r="AC51" s="175">
        <v>456</v>
      </c>
      <c r="AD51" s="175">
        <v>456</v>
      </c>
      <c r="AE51" s="175">
        <v>456</v>
      </c>
      <c r="AF51" s="17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50</v>
      </c>
      <c r="N52" s="64">
        <v>50</v>
      </c>
      <c r="O52" s="64">
        <v>48</v>
      </c>
      <c r="P52" s="64">
        <v>48</v>
      </c>
      <c r="Q52" s="64">
        <v>48</v>
      </c>
      <c r="R52" s="64">
        <v>48</v>
      </c>
      <c r="S52" s="64">
        <v>48</v>
      </c>
      <c r="T52" s="64">
        <v>51</v>
      </c>
      <c r="U52" s="64">
        <v>52</v>
      </c>
      <c r="V52" s="64">
        <v>52</v>
      </c>
      <c r="W52" s="64">
        <v>0</v>
      </c>
      <c r="X52" s="64">
        <v>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20.100000000000001</v>
      </c>
      <c r="AF53" s="66">
        <v>20.100000000000001</v>
      </c>
      <c r="AG53" s="67">
        <v>22.1</v>
      </c>
      <c r="AH53" s="47">
        <f t="shared" si="2"/>
        <v>22.4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v>528.4</v>
      </c>
      <c r="C54" s="60">
        <v>528.4</v>
      </c>
      <c r="D54" s="60">
        <v>528.4</v>
      </c>
      <c r="E54" s="60">
        <v>528.4</v>
      </c>
      <c r="F54" s="60">
        <v>528.4</v>
      </c>
      <c r="G54" s="60">
        <v>528.4</v>
      </c>
      <c r="H54" s="60">
        <v>528.4</v>
      </c>
      <c r="I54" s="60">
        <v>528.4</v>
      </c>
      <c r="J54" s="60">
        <v>528.4</v>
      </c>
      <c r="K54" s="60">
        <v>528.4</v>
      </c>
      <c r="L54" s="60">
        <f t="shared" ref="L54:AG54" si="5">SUM(L51:L53)</f>
        <v>528.4</v>
      </c>
      <c r="M54" s="60">
        <f t="shared" si="5"/>
        <v>528.4</v>
      </c>
      <c r="N54" s="60">
        <f t="shared" si="5"/>
        <v>528.4</v>
      </c>
      <c r="O54" s="60">
        <f t="shared" si="5"/>
        <v>526.4</v>
      </c>
      <c r="P54" s="60">
        <f t="shared" si="5"/>
        <v>526</v>
      </c>
      <c r="Q54" s="60">
        <f t="shared" si="5"/>
        <v>526</v>
      </c>
      <c r="R54" s="60">
        <f t="shared" si="5"/>
        <v>526</v>
      </c>
      <c r="S54" s="60">
        <f t="shared" si="5"/>
        <v>526</v>
      </c>
      <c r="T54" s="60">
        <f t="shared" si="5"/>
        <v>529</v>
      </c>
      <c r="U54" s="60">
        <f t="shared" si="5"/>
        <v>530</v>
      </c>
      <c r="V54" s="60">
        <f t="shared" si="5"/>
        <v>530</v>
      </c>
      <c r="W54" s="60">
        <f t="shared" si="5"/>
        <v>478</v>
      </c>
      <c r="X54" s="60">
        <f t="shared" si="5"/>
        <v>478</v>
      </c>
      <c r="Y54" s="60">
        <f t="shared" si="5"/>
        <v>538</v>
      </c>
      <c r="Z54" s="60">
        <f t="shared" si="5"/>
        <v>538</v>
      </c>
      <c r="AA54" s="60">
        <f t="shared" si="5"/>
        <v>538</v>
      </c>
      <c r="AB54" s="60">
        <f t="shared" si="5"/>
        <v>538</v>
      </c>
      <c r="AC54" s="60">
        <f t="shared" si="5"/>
        <v>538</v>
      </c>
      <c r="AD54" s="60">
        <f t="shared" si="5"/>
        <v>538</v>
      </c>
      <c r="AE54" s="60">
        <f>SUM(AE51:AE53)</f>
        <v>536.1</v>
      </c>
      <c r="AF54" s="60">
        <f>SUM(AF51:AF53)</f>
        <v>536.1</v>
      </c>
      <c r="AG54" s="61">
        <f t="shared" si="5"/>
        <v>538.1</v>
      </c>
      <c r="AH54" s="47">
        <f t="shared" si="2"/>
        <v>538</v>
      </c>
      <c r="AI54" s="48">
        <f t="shared" si="3"/>
        <v>478</v>
      </c>
      <c r="AK54" s="50"/>
    </row>
    <row r="55" spans="1:41" x14ac:dyDescent="0.25">
      <c r="A55" s="44" t="s">
        <v>63</v>
      </c>
      <c r="B55" s="45">
        <v>102</v>
      </c>
      <c r="C55" s="45">
        <v>102</v>
      </c>
      <c r="D55" s="45">
        <v>102</v>
      </c>
      <c r="E55" s="45">
        <v>104.4</v>
      </c>
      <c r="F55" s="45">
        <v>104.4</v>
      </c>
      <c r="G55" s="45">
        <v>104.4</v>
      </c>
      <c r="H55" s="45">
        <v>104.4</v>
      </c>
      <c r="I55" s="45">
        <v>104.4</v>
      </c>
      <c r="J55" s="45">
        <v>104.4</v>
      </c>
      <c r="K55" s="45">
        <v>104.4</v>
      </c>
      <c r="L55" s="45">
        <v>130</v>
      </c>
      <c r="M55" s="45">
        <v>134.80000000000001</v>
      </c>
      <c r="N55" s="45">
        <v>134.80000000000001</v>
      </c>
      <c r="O55" s="45">
        <v>134.80000000000001</v>
      </c>
      <c r="P55" s="45">
        <v>127</v>
      </c>
      <c r="Q55" s="45">
        <v>121.4</v>
      </c>
      <c r="R55" s="45">
        <v>128.5</v>
      </c>
      <c r="S55" s="45">
        <v>128.5</v>
      </c>
      <c r="T55" s="45">
        <v>136</v>
      </c>
      <c r="U55" s="45">
        <v>136</v>
      </c>
      <c r="V55" s="45">
        <v>136</v>
      </c>
      <c r="W55" s="45">
        <v>136</v>
      </c>
      <c r="X55" s="45">
        <v>136</v>
      </c>
      <c r="Y55" s="45">
        <v>136</v>
      </c>
      <c r="Z55" s="45">
        <v>136</v>
      </c>
      <c r="AA55" s="45">
        <v>136</v>
      </c>
      <c r="AB55" s="45">
        <v>135.19999999999999</v>
      </c>
      <c r="AC55" s="45">
        <v>134.9</v>
      </c>
      <c r="AD55" s="45">
        <v>134.5</v>
      </c>
      <c r="AE55" s="45">
        <v>134.5</v>
      </c>
      <c r="AF55" s="45">
        <v>120</v>
      </c>
      <c r="AG55" s="51">
        <v>144</v>
      </c>
      <c r="AH55" s="47">
        <f t="shared" si="2"/>
        <v>136</v>
      </c>
      <c r="AI55" s="48">
        <f t="shared" si="3"/>
        <v>102</v>
      </c>
      <c r="AK55" s="50"/>
    </row>
    <row r="56" spans="1:41" x14ac:dyDescent="0.25">
      <c r="A56" s="53" t="s">
        <v>64</v>
      </c>
      <c r="B56" s="64">
        <v>52</v>
      </c>
      <c r="C56" s="64">
        <v>52</v>
      </c>
      <c r="D56" s="64">
        <v>52</v>
      </c>
      <c r="E56" s="64">
        <v>47.2</v>
      </c>
      <c r="F56" s="64">
        <v>50.7</v>
      </c>
      <c r="G56" s="64">
        <v>50.7</v>
      </c>
      <c r="H56" s="64">
        <v>50.7</v>
      </c>
      <c r="I56" s="64">
        <v>50.7</v>
      </c>
      <c r="J56" s="64">
        <v>50.7</v>
      </c>
      <c r="K56" s="64">
        <v>50.7</v>
      </c>
      <c r="L56" s="64">
        <v>69.5</v>
      </c>
      <c r="M56" s="64">
        <v>67.599999999999994</v>
      </c>
      <c r="N56" s="64">
        <v>69.099999999999994</v>
      </c>
      <c r="O56" s="64">
        <v>68.8</v>
      </c>
      <c r="P56" s="64">
        <v>34.4</v>
      </c>
      <c r="Q56" s="64">
        <v>34.200000000000003</v>
      </c>
      <c r="R56" s="64">
        <v>48.1</v>
      </c>
      <c r="S56" s="64">
        <v>48.1</v>
      </c>
      <c r="T56" s="64">
        <v>70</v>
      </c>
      <c r="U56" s="64">
        <v>70</v>
      </c>
      <c r="V56" s="64">
        <v>70</v>
      </c>
      <c r="W56" s="64">
        <v>70</v>
      </c>
      <c r="X56" s="64">
        <v>70</v>
      </c>
      <c r="Y56" s="64">
        <v>70</v>
      </c>
      <c r="Z56" s="64">
        <v>70</v>
      </c>
      <c r="AA56" s="45">
        <v>70</v>
      </c>
      <c r="AB56" s="45">
        <v>70</v>
      </c>
      <c r="AC56" s="45">
        <v>70.3</v>
      </c>
      <c r="AD56" s="64">
        <v>70.900000000000006</v>
      </c>
      <c r="AE56" s="64">
        <v>70.900000000000006</v>
      </c>
      <c r="AF56" s="64">
        <v>50</v>
      </c>
      <c r="AG56" s="54">
        <v>70</v>
      </c>
      <c r="AH56" s="47">
        <f t="shared" si="2"/>
        <v>70.900000000000006</v>
      </c>
      <c r="AI56" s="48">
        <f t="shared" si="3"/>
        <v>34.200000000000003</v>
      </c>
      <c r="AK56" s="50"/>
    </row>
    <row r="57" spans="1:41" x14ac:dyDescent="0.25">
      <c r="A57" s="53" t="s">
        <v>65</v>
      </c>
      <c r="B57" s="64">
        <v>50</v>
      </c>
      <c r="C57" s="64">
        <v>50</v>
      </c>
      <c r="D57" s="64">
        <v>50</v>
      </c>
      <c r="E57" s="64">
        <v>34.4</v>
      </c>
      <c r="F57" s="64">
        <v>38.200000000000003</v>
      </c>
      <c r="G57" s="64">
        <v>38.200000000000003</v>
      </c>
      <c r="H57" s="64">
        <v>38.200000000000003</v>
      </c>
      <c r="I57" s="64">
        <v>38.200000000000003</v>
      </c>
      <c r="J57" s="64">
        <v>38.200000000000003</v>
      </c>
      <c r="K57" s="64">
        <v>38.200000000000003</v>
      </c>
      <c r="L57" s="64">
        <v>64</v>
      </c>
      <c r="M57" s="64">
        <v>64.599999999999994</v>
      </c>
      <c r="N57" s="64">
        <v>65.2</v>
      </c>
      <c r="O57" s="64">
        <v>65.2</v>
      </c>
      <c r="P57" s="64">
        <v>54.5</v>
      </c>
      <c r="Q57" s="64">
        <v>51.8</v>
      </c>
      <c r="R57" s="64">
        <v>60.6</v>
      </c>
      <c r="S57" s="64">
        <v>60.6</v>
      </c>
      <c r="T57" s="64">
        <v>60.6</v>
      </c>
      <c r="U57" s="64">
        <v>60.6</v>
      </c>
      <c r="V57" s="64">
        <v>60.6</v>
      </c>
      <c r="W57" s="64">
        <v>60.6</v>
      </c>
      <c r="X57" s="64">
        <v>60.6</v>
      </c>
      <c r="Y57" s="64">
        <v>60.6</v>
      </c>
      <c r="Z57" s="64">
        <v>60.6</v>
      </c>
      <c r="AA57" s="45">
        <v>60.6</v>
      </c>
      <c r="AB57" s="45">
        <v>64.2</v>
      </c>
      <c r="AC57" s="45">
        <v>63.8</v>
      </c>
      <c r="AD57" s="64">
        <v>63.7</v>
      </c>
      <c r="AE57" s="64">
        <v>63.7</v>
      </c>
      <c r="AF57" s="64">
        <v>54.6</v>
      </c>
      <c r="AG57" s="54">
        <v>69</v>
      </c>
      <c r="AH57" s="47">
        <f t="shared" si="2"/>
        <v>65.2</v>
      </c>
      <c r="AI57" s="48">
        <f t="shared" si="3"/>
        <v>34.4</v>
      </c>
      <c r="AK57" s="50"/>
    </row>
    <row r="58" spans="1:41" x14ac:dyDescent="0.25">
      <c r="A58" s="53" t="s">
        <v>66</v>
      </c>
      <c r="B58" s="64">
        <v>41.8</v>
      </c>
      <c r="C58" s="64">
        <v>41.8</v>
      </c>
      <c r="D58" s="64">
        <v>41.8</v>
      </c>
      <c r="E58" s="64">
        <v>30.5</v>
      </c>
      <c r="F58" s="64">
        <v>30</v>
      </c>
      <c r="G58" s="64">
        <v>30</v>
      </c>
      <c r="H58" s="64">
        <v>30</v>
      </c>
      <c r="I58" s="64">
        <v>30</v>
      </c>
      <c r="J58" s="64">
        <v>30</v>
      </c>
      <c r="K58" s="64">
        <v>30</v>
      </c>
      <c r="L58" s="56">
        <v>60</v>
      </c>
      <c r="M58" s="64">
        <v>61</v>
      </c>
      <c r="N58" s="64">
        <v>62.5</v>
      </c>
      <c r="O58" s="64">
        <v>61.4</v>
      </c>
      <c r="P58" s="64">
        <v>50.6</v>
      </c>
      <c r="Q58" s="64">
        <v>40</v>
      </c>
      <c r="R58" s="64">
        <v>0</v>
      </c>
      <c r="S58" s="64">
        <v>0</v>
      </c>
      <c r="T58" s="64">
        <v>0</v>
      </c>
      <c r="U58" s="64">
        <v>43.8</v>
      </c>
      <c r="V58" s="64">
        <v>43.8</v>
      </c>
      <c r="W58" s="64">
        <v>62.3</v>
      </c>
      <c r="X58" s="64">
        <v>62.3</v>
      </c>
      <c r="Y58" s="64">
        <v>62.3</v>
      </c>
      <c r="Z58" s="64">
        <v>62.3</v>
      </c>
      <c r="AA58" s="45">
        <v>62.3</v>
      </c>
      <c r="AB58" s="45">
        <v>62.5</v>
      </c>
      <c r="AC58" s="45">
        <v>62</v>
      </c>
      <c r="AD58" s="45">
        <v>62.3</v>
      </c>
      <c r="AE58" s="45">
        <v>55</v>
      </c>
      <c r="AF58" s="45">
        <v>42.1</v>
      </c>
      <c r="AG58" s="54">
        <v>60</v>
      </c>
      <c r="AH58" s="47">
        <f t="shared" si="2"/>
        <v>62.5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15</v>
      </c>
      <c r="F59" s="64">
        <v>15</v>
      </c>
      <c r="G59" s="64">
        <v>12</v>
      </c>
      <c r="H59" s="64">
        <v>12</v>
      </c>
      <c r="I59" s="64">
        <v>12</v>
      </c>
      <c r="J59" s="64">
        <v>12</v>
      </c>
      <c r="K59" s="64">
        <v>12</v>
      </c>
      <c r="L59" s="56">
        <v>0</v>
      </c>
      <c r="M59" s="64">
        <v>0</v>
      </c>
      <c r="N59" s="64">
        <v>0</v>
      </c>
      <c r="O59" s="64">
        <v>0</v>
      </c>
      <c r="P59" s="64">
        <v>0</v>
      </c>
      <c r="Q59" s="64">
        <v>0</v>
      </c>
      <c r="R59" s="64">
        <v>0</v>
      </c>
      <c r="S59" s="64">
        <v>0</v>
      </c>
      <c r="T59" s="64">
        <v>0</v>
      </c>
      <c r="U59" s="64">
        <v>0</v>
      </c>
      <c r="V59" s="64">
        <v>0</v>
      </c>
      <c r="W59" s="64">
        <v>0</v>
      </c>
      <c r="X59" s="64">
        <v>0</v>
      </c>
      <c r="Y59" s="64">
        <v>0</v>
      </c>
      <c r="Z59" s="64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15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2.5</v>
      </c>
      <c r="O60" s="64">
        <v>3.7</v>
      </c>
      <c r="P60" s="64">
        <v>3.7</v>
      </c>
      <c r="Q60" s="64">
        <v>3.7</v>
      </c>
      <c r="R60" s="64">
        <v>4.7</v>
      </c>
      <c r="S60" s="64">
        <v>4.7</v>
      </c>
      <c r="T60" s="64">
        <v>2.2000000000000002</v>
      </c>
      <c r="U60" s="64">
        <v>1</v>
      </c>
      <c r="V60" s="64">
        <v>1.1000000000000001</v>
      </c>
      <c r="W60" s="64">
        <v>0.7</v>
      </c>
      <c r="X60" s="64">
        <v>0.3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4.7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12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4.5999999999999996</v>
      </c>
      <c r="Q62" s="64">
        <v>4.5999999999999996</v>
      </c>
      <c r="R62" s="64">
        <v>4.5999999999999996</v>
      </c>
      <c r="S62" s="64">
        <v>4.5999999999999996</v>
      </c>
      <c r="T62" s="64">
        <v>4.5999999999999996</v>
      </c>
      <c r="U62" s="64">
        <v>4.5999999999999996</v>
      </c>
      <c r="V62" s="64">
        <v>4.5999999999999996</v>
      </c>
      <c r="W62" s="64">
        <v>4.5999999999999996</v>
      </c>
      <c r="X62" s="64">
        <v>4.5999999999999996</v>
      </c>
      <c r="Y62" s="64">
        <v>4.5999999999999996</v>
      </c>
      <c r="Z62" s="64">
        <v>4.5999999999999996</v>
      </c>
      <c r="AA62" s="64">
        <v>4.5999999999999996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4.5999999999999996</v>
      </c>
      <c r="AI62" s="48">
        <f t="shared" si="3"/>
        <v>4.5999999999999996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10.6</v>
      </c>
      <c r="C63" s="64">
        <v>10.6</v>
      </c>
      <c r="D63" s="64">
        <v>10.6</v>
      </c>
      <c r="E63" s="64">
        <v>10.6</v>
      </c>
      <c r="F63" s="64">
        <v>10.6</v>
      </c>
      <c r="G63" s="64">
        <v>10.6</v>
      </c>
      <c r="H63" s="64">
        <v>10.6</v>
      </c>
      <c r="I63" s="64">
        <v>10.6</v>
      </c>
      <c r="J63" s="64">
        <v>10.6</v>
      </c>
      <c r="K63" s="64">
        <v>10.6</v>
      </c>
      <c r="L63" s="64">
        <v>10.6</v>
      </c>
      <c r="M63" s="64">
        <v>10.6</v>
      </c>
      <c r="N63" s="64">
        <v>10.6</v>
      </c>
      <c r="O63" s="64">
        <v>10.6</v>
      </c>
      <c r="P63" s="64">
        <v>10.6</v>
      </c>
      <c r="Q63" s="64">
        <v>10.6</v>
      </c>
      <c r="R63" s="64">
        <v>8.6</v>
      </c>
      <c r="S63" s="64">
        <v>8.6</v>
      </c>
      <c r="T63" s="64">
        <v>8.6</v>
      </c>
      <c r="U63" s="64">
        <v>8.6</v>
      </c>
      <c r="V63" s="64">
        <v>8.6</v>
      </c>
      <c r="W63" s="64">
        <v>8.6</v>
      </c>
      <c r="X63" s="64">
        <v>8.6</v>
      </c>
      <c r="Y63" s="64">
        <v>8.6</v>
      </c>
      <c r="Z63" s="64">
        <v>8.6</v>
      </c>
      <c r="AA63" s="64">
        <v>8.6</v>
      </c>
      <c r="AB63" s="64">
        <v>8.6</v>
      </c>
      <c r="AC63" s="64">
        <v>8.6</v>
      </c>
      <c r="AD63" s="64">
        <v>8.6</v>
      </c>
      <c r="AE63" s="64">
        <v>10.3</v>
      </c>
      <c r="AF63" s="64">
        <v>10.3</v>
      </c>
      <c r="AG63" s="54">
        <v>14.1</v>
      </c>
      <c r="AH63" s="47">
        <f t="shared" si="2"/>
        <v>10.6</v>
      </c>
      <c r="AI63" s="48">
        <f t="shared" si="3"/>
        <v>8.6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6.9</v>
      </c>
      <c r="C64" s="64">
        <v>6.9</v>
      </c>
      <c r="D64" s="64">
        <v>6.9</v>
      </c>
      <c r="E64" s="64">
        <v>6.9</v>
      </c>
      <c r="F64" s="64">
        <v>6.9</v>
      </c>
      <c r="G64" s="64">
        <v>6.9</v>
      </c>
      <c r="H64" s="64">
        <v>6.9</v>
      </c>
      <c r="I64" s="64">
        <v>6.9</v>
      </c>
      <c r="J64" s="64">
        <v>6.9</v>
      </c>
      <c r="K64" s="64">
        <v>6.9</v>
      </c>
      <c r="L64" s="64">
        <v>6.9</v>
      </c>
      <c r="M64" s="64">
        <v>6.9</v>
      </c>
      <c r="N64" s="64">
        <v>10</v>
      </c>
      <c r="O64" s="64">
        <v>10.4</v>
      </c>
      <c r="P64" s="64">
        <v>10.4</v>
      </c>
      <c r="Q64" s="64">
        <v>10.4</v>
      </c>
      <c r="R64" s="64">
        <v>10.4</v>
      </c>
      <c r="S64" s="64">
        <v>10.4</v>
      </c>
      <c r="T64" s="64">
        <v>10.4</v>
      </c>
      <c r="U64" s="64">
        <v>10.4</v>
      </c>
      <c r="V64" s="64">
        <v>10.4</v>
      </c>
      <c r="W64" s="64">
        <v>6.7</v>
      </c>
      <c r="X64" s="64">
        <v>6.7</v>
      </c>
      <c r="Y64" s="64">
        <v>13.8</v>
      </c>
      <c r="Z64" s="64">
        <v>7.3</v>
      </c>
      <c r="AA64" s="64">
        <v>7.3</v>
      </c>
      <c r="AB64" s="64">
        <v>7.3</v>
      </c>
      <c r="AC64" s="64">
        <v>7.3</v>
      </c>
      <c r="AD64" s="64">
        <v>7.3</v>
      </c>
      <c r="AE64" s="64">
        <v>9.8000000000000007</v>
      </c>
      <c r="AF64" s="64">
        <v>9.8000000000000007</v>
      </c>
      <c r="AG64" s="54">
        <v>14</v>
      </c>
      <c r="AH64" s="47">
        <f t="shared" si="2"/>
        <v>13.8</v>
      </c>
      <c r="AI64" s="48">
        <f t="shared" si="3"/>
        <v>6.7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320.74000000000007</v>
      </c>
      <c r="C68" s="60">
        <v>320.74000000000007</v>
      </c>
      <c r="D68" s="60">
        <v>320.74</v>
      </c>
      <c r="E68" s="60">
        <v>320.74</v>
      </c>
      <c r="F68" s="60">
        <v>320.74</v>
      </c>
      <c r="G68" s="60">
        <v>320.74</v>
      </c>
      <c r="H68" s="60">
        <v>320.74</v>
      </c>
      <c r="I68" s="60">
        <v>320.74</v>
      </c>
      <c r="J68" s="60">
        <v>320.74</v>
      </c>
      <c r="K68" s="60">
        <f t="shared" ref="K68:AG68" si="6">SUM(K55:K67)</f>
        <v>288.14</v>
      </c>
      <c r="L68" s="60">
        <f t="shared" si="6"/>
        <v>376.34000000000003</v>
      </c>
      <c r="M68" s="60">
        <f t="shared" si="6"/>
        <v>380.84000000000003</v>
      </c>
      <c r="N68" s="60">
        <f t="shared" si="6"/>
        <v>390.04000000000008</v>
      </c>
      <c r="O68" s="60">
        <f t="shared" si="6"/>
        <v>390.24</v>
      </c>
      <c r="P68" s="60">
        <f t="shared" si="6"/>
        <v>326.54000000000002</v>
      </c>
      <c r="Q68" s="60">
        <f t="shared" si="6"/>
        <v>307.44000000000005</v>
      </c>
      <c r="R68" s="60">
        <f t="shared" si="6"/>
        <v>296.24</v>
      </c>
      <c r="S68" s="60">
        <f t="shared" si="6"/>
        <v>296.24</v>
      </c>
      <c r="T68" s="60">
        <f t="shared" si="6"/>
        <v>323.14000000000004</v>
      </c>
      <c r="U68" s="60">
        <f t="shared" si="6"/>
        <v>365.74000000000007</v>
      </c>
      <c r="V68" s="60">
        <f t="shared" si="6"/>
        <v>365.84000000000009</v>
      </c>
      <c r="W68" s="60">
        <f t="shared" si="6"/>
        <v>380.24000000000007</v>
      </c>
      <c r="X68" s="60">
        <f t="shared" si="6"/>
        <v>379.84000000000009</v>
      </c>
      <c r="Y68" s="60">
        <f t="shared" si="6"/>
        <v>386.6400000000001</v>
      </c>
      <c r="Z68" s="60">
        <f t="shared" si="6"/>
        <v>380.1400000000001</v>
      </c>
      <c r="AA68" s="60">
        <f t="shared" si="6"/>
        <v>380.1400000000001</v>
      </c>
      <c r="AB68" s="60">
        <f t="shared" si="6"/>
        <v>383.14000000000004</v>
      </c>
      <c r="AC68" s="60">
        <f t="shared" si="6"/>
        <v>382.24000000000007</v>
      </c>
      <c r="AD68" s="60">
        <f t="shared" si="6"/>
        <v>382.6400000000001</v>
      </c>
      <c r="AE68" s="60">
        <f t="shared" si="6"/>
        <v>379.54000000000008</v>
      </c>
      <c r="AF68" s="60">
        <f>SUM(AF55:AF67)</f>
        <v>322.14000000000004</v>
      </c>
      <c r="AG68" s="61">
        <f t="shared" si="6"/>
        <v>489.91</v>
      </c>
      <c r="AH68" s="47">
        <f t="shared" si="2"/>
        <v>390.24</v>
      </c>
      <c r="AI68" s="48">
        <f t="shared" si="3"/>
        <v>288.14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E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>AF69+AF70+AF71</f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-49</v>
      </c>
      <c r="C73" s="45">
        <v>-49</v>
      </c>
      <c r="D73" s="45">
        <v>-49</v>
      </c>
      <c r="E73" s="45">
        <v>-42</v>
      </c>
      <c r="F73" s="45">
        <v>-45.9</v>
      </c>
      <c r="G73" s="45">
        <v>-46.8</v>
      </c>
      <c r="H73" s="45">
        <v>-46.8</v>
      </c>
      <c r="I73" s="45">
        <v>-51.5</v>
      </c>
      <c r="J73" s="45">
        <v>-51.5</v>
      </c>
      <c r="K73" s="45">
        <v>-40</v>
      </c>
      <c r="L73" s="45">
        <v>-44</v>
      </c>
      <c r="M73" s="45">
        <v>-43.3</v>
      </c>
      <c r="N73" s="45">
        <v>-35.700000000000003</v>
      </c>
      <c r="O73" s="45">
        <v>18</v>
      </c>
      <c r="P73" s="45">
        <v>-42</v>
      </c>
      <c r="Q73" s="45">
        <v>-24.8</v>
      </c>
      <c r="R73" s="45">
        <v>14.6</v>
      </c>
      <c r="S73" s="45">
        <v>-4.0999999999999996</v>
      </c>
      <c r="T73" s="45">
        <v>15</v>
      </c>
      <c r="U73" s="45">
        <v>-4.0999999999999996</v>
      </c>
      <c r="V73" s="45">
        <v>-8.6</v>
      </c>
      <c r="W73" s="45">
        <v>-4.5</v>
      </c>
      <c r="X73" s="45">
        <v>11</v>
      </c>
      <c r="Y73" s="45">
        <v>10.6</v>
      </c>
      <c r="Z73" s="45">
        <v>26.7</v>
      </c>
      <c r="AA73" s="45">
        <v>2.1</v>
      </c>
      <c r="AB73" s="45">
        <v>2.2999999999999998</v>
      </c>
      <c r="AC73" s="45">
        <v>3</v>
      </c>
      <c r="AD73" s="45">
        <v>1.9</v>
      </c>
      <c r="AE73" s="45">
        <v>-4.5</v>
      </c>
      <c r="AF73" s="45">
        <v>-35</v>
      </c>
      <c r="AG73" s="51"/>
      <c r="AH73" s="47">
        <f t="shared" si="2"/>
        <v>26.7</v>
      </c>
      <c r="AI73" s="48">
        <f t="shared" si="3"/>
        <v>-51.5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-375</v>
      </c>
      <c r="C75" s="64">
        <v>-373</v>
      </c>
      <c r="D75" s="64">
        <v>-380</v>
      </c>
      <c r="E75" s="64">
        <v>-414.2</v>
      </c>
      <c r="F75" s="64">
        <v>-424.7</v>
      </c>
      <c r="G75" s="64">
        <v>-440.5</v>
      </c>
      <c r="H75" s="64">
        <v>-440.5</v>
      </c>
      <c r="I75" s="64">
        <v>-440.5</v>
      </c>
      <c r="J75" s="64">
        <v>-440.5</v>
      </c>
      <c r="K75" s="64">
        <v>-470</v>
      </c>
      <c r="L75" s="64">
        <v>-442</v>
      </c>
      <c r="M75" s="64">
        <v>-455</v>
      </c>
      <c r="N75" s="64">
        <v>-434.9</v>
      </c>
      <c r="O75" s="64">
        <v>-442</v>
      </c>
      <c r="P75" s="64">
        <v>-452.8</v>
      </c>
      <c r="Q75" s="64">
        <v>-498.6</v>
      </c>
      <c r="R75" s="64">
        <v>-446</v>
      </c>
      <c r="S75" s="64">
        <v>-491</v>
      </c>
      <c r="T75" s="64">
        <v>-400</v>
      </c>
      <c r="U75" s="64">
        <v>-491</v>
      </c>
      <c r="V75" s="64">
        <v>-412</v>
      </c>
      <c r="W75" s="64">
        <v>-414</v>
      </c>
      <c r="X75" s="64">
        <v>-433</v>
      </c>
      <c r="Y75" s="64">
        <v>-391</v>
      </c>
      <c r="Z75" s="64">
        <v>-350</v>
      </c>
      <c r="AA75" s="64">
        <v>-335</v>
      </c>
      <c r="AB75" s="64">
        <v>-390</v>
      </c>
      <c r="AC75" s="64">
        <v>-360.6</v>
      </c>
      <c r="AD75" s="64">
        <v>-400</v>
      </c>
      <c r="AE75" s="64">
        <v>-395</v>
      </c>
      <c r="AF75" s="64">
        <v>-381</v>
      </c>
      <c r="AG75" s="74"/>
      <c r="AH75" s="47">
        <f t="shared" si="2"/>
        <v>-335</v>
      </c>
      <c r="AI75" s="48">
        <f t="shared" si="3"/>
        <v>-498.6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>
        <v>0</v>
      </c>
      <c r="N76" s="64">
        <v>0</v>
      </c>
      <c r="O76" s="64">
        <v>0</v>
      </c>
      <c r="P76" s="64">
        <v>0</v>
      </c>
      <c r="Q76" s="64">
        <v>0</v>
      </c>
      <c r="R76" s="64">
        <v>0</v>
      </c>
      <c r="S76" s="64">
        <v>0</v>
      </c>
      <c r="T76" s="64">
        <v>0</v>
      </c>
      <c r="U76" s="64">
        <v>0</v>
      </c>
      <c r="V76" s="64">
        <v>0</v>
      </c>
      <c r="W76" s="64">
        <v>0</v>
      </c>
      <c r="X76" s="64">
        <v>0</v>
      </c>
      <c r="Y76" s="64">
        <v>0</v>
      </c>
      <c r="Z76" s="64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60">
        <v>0</v>
      </c>
      <c r="I84" s="60">
        <v>0</v>
      </c>
      <c r="J84" s="60">
        <v>0</v>
      </c>
      <c r="K84" s="60">
        <f t="shared" ref="K84:AE84" si="10">SUMIF(K73:K83,"&gt;0")</f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18</v>
      </c>
      <c r="P84" s="60">
        <f t="shared" si="10"/>
        <v>0</v>
      </c>
      <c r="Q84" s="60">
        <f t="shared" si="10"/>
        <v>0</v>
      </c>
      <c r="R84" s="60">
        <f t="shared" si="10"/>
        <v>14.6</v>
      </c>
      <c r="S84" s="60">
        <f t="shared" si="10"/>
        <v>0</v>
      </c>
      <c r="T84" s="60">
        <f t="shared" si="10"/>
        <v>15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11</v>
      </c>
      <c r="Y84" s="60">
        <f t="shared" si="10"/>
        <v>10.6</v>
      </c>
      <c r="Z84" s="60">
        <f t="shared" si="10"/>
        <v>26.7</v>
      </c>
      <c r="AA84" s="60">
        <f t="shared" si="10"/>
        <v>2.1</v>
      </c>
      <c r="AB84" s="60">
        <f t="shared" si="10"/>
        <v>2.2999999999999998</v>
      </c>
      <c r="AC84" s="60">
        <f t="shared" si="10"/>
        <v>3</v>
      </c>
      <c r="AD84" s="60">
        <f t="shared" si="10"/>
        <v>1.9</v>
      </c>
      <c r="AE84" s="60">
        <f t="shared" si="10"/>
        <v>0</v>
      </c>
      <c r="AF84" s="60">
        <f>SUMIF(AF73:AF83,"&gt;0")</f>
        <v>0</v>
      </c>
      <c r="AG84" s="87">
        <f>SUM(AG73:AG83)</f>
        <v>0</v>
      </c>
      <c r="AH84" s="47">
        <f t="shared" si="8"/>
        <v>26.7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1873.74</v>
      </c>
      <c r="C89" s="94">
        <v>1873.74</v>
      </c>
      <c r="D89" s="94">
        <v>1873.74</v>
      </c>
      <c r="E89" s="94">
        <v>1873.74</v>
      </c>
      <c r="F89" s="94">
        <v>1873.74</v>
      </c>
      <c r="G89" s="94">
        <v>1873.74</v>
      </c>
      <c r="H89" s="94">
        <v>1873.74</v>
      </c>
      <c r="I89" s="94">
        <v>1873.74</v>
      </c>
      <c r="J89" s="94">
        <v>1873.74</v>
      </c>
      <c r="K89" s="94">
        <f t="shared" ref="K89:AG89" si="11">K50+K54+K72+K68+K84+K88</f>
        <v>1841.1399999999999</v>
      </c>
      <c r="L89" s="94">
        <f t="shared" si="11"/>
        <v>1922.2400000000002</v>
      </c>
      <c r="M89" s="94">
        <f t="shared" si="11"/>
        <v>1926.7400000000002</v>
      </c>
      <c r="N89" s="94">
        <f t="shared" si="11"/>
        <v>1909.2399999999998</v>
      </c>
      <c r="O89" s="94">
        <f t="shared" si="11"/>
        <v>1915.4399999999998</v>
      </c>
      <c r="P89" s="94">
        <f t="shared" si="11"/>
        <v>1876.94</v>
      </c>
      <c r="Q89" s="94">
        <f t="shared" si="11"/>
        <v>1857.8400000000001</v>
      </c>
      <c r="R89" s="94">
        <f t="shared" si="11"/>
        <v>1861.24</v>
      </c>
      <c r="S89" s="94">
        <f t="shared" si="11"/>
        <v>1837.64</v>
      </c>
      <c r="T89" s="94">
        <f t="shared" si="11"/>
        <v>1836.5400000000002</v>
      </c>
      <c r="U89" s="94">
        <f t="shared" si="11"/>
        <v>1865.14</v>
      </c>
      <c r="V89" s="94">
        <f t="shared" si="11"/>
        <v>1865.2400000000002</v>
      </c>
      <c r="W89" s="94">
        <f t="shared" si="11"/>
        <v>1836.14</v>
      </c>
      <c r="X89" s="94">
        <f t="shared" si="11"/>
        <v>1843.64</v>
      </c>
      <c r="Y89" s="94">
        <f t="shared" si="11"/>
        <v>1916.74</v>
      </c>
      <c r="Z89" s="94">
        <f t="shared" si="11"/>
        <v>1926.3400000000001</v>
      </c>
      <c r="AA89" s="94">
        <f t="shared" si="11"/>
        <v>1963.0400000000002</v>
      </c>
      <c r="AB89" s="94">
        <f t="shared" si="11"/>
        <v>1975.3400000000001</v>
      </c>
      <c r="AC89" s="94">
        <f t="shared" si="11"/>
        <v>1949.14</v>
      </c>
      <c r="AD89" s="94">
        <f t="shared" si="11"/>
        <v>1948.4400000000003</v>
      </c>
      <c r="AE89" s="94">
        <f t="shared" si="11"/>
        <v>1941.54</v>
      </c>
      <c r="AF89" s="94">
        <f>AF50+AF54+AF72+AF68+AF84+AF88</f>
        <v>1884.14</v>
      </c>
      <c r="AG89" s="61">
        <f t="shared" si="11"/>
        <v>2111.5500000000002</v>
      </c>
      <c r="AH89" s="47">
        <f t="shared" si="8"/>
        <v>1975.3400000000001</v>
      </c>
      <c r="AI89" s="48">
        <f t="shared" si="9"/>
        <v>1836.14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1873.74</v>
      </c>
      <c r="C91" s="94">
        <v>1873.74</v>
      </c>
      <c r="D91" s="94">
        <v>1873.74</v>
      </c>
      <c r="E91" s="94">
        <v>1873.74</v>
      </c>
      <c r="F91" s="94">
        <v>1873.74</v>
      </c>
      <c r="G91" s="94">
        <v>1873.74</v>
      </c>
      <c r="H91" s="94">
        <v>1873.74</v>
      </c>
      <c r="I91" s="94">
        <v>1873.74</v>
      </c>
      <c r="J91" s="94">
        <v>1873.74</v>
      </c>
      <c r="K91" s="94">
        <f t="shared" ref="K91:AE91" si="12">K89+K90</f>
        <v>1841.1399999999999</v>
      </c>
      <c r="L91" s="94">
        <f t="shared" si="12"/>
        <v>1922.2400000000002</v>
      </c>
      <c r="M91" s="94">
        <f t="shared" si="12"/>
        <v>1926.7400000000002</v>
      </c>
      <c r="N91" s="94">
        <f t="shared" si="12"/>
        <v>1909.2399999999998</v>
      </c>
      <c r="O91" s="94">
        <f t="shared" si="12"/>
        <v>1915.4399999999998</v>
      </c>
      <c r="P91" s="94">
        <f t="shared" si="12"/>
        <v>1876.94</v>
      </c>
      <c r="Q91" s="94">
        <f t="shared" si="12"/>
        <v>1857.8400000000001</v>
      </c>
      <c r="R91" s="94">
        <f t="shared" si="12"/>
        <v>1861.24</v>
      </c>
      <c r="S91" s="94">
        <f t="shared" si="12"/>
        <v>1837.64</v>
      </c>
      <c r="T91" s="94">
        <f t="shared" si="12"/>
        <v>1836.5400000000002</v>
      </c>
      <c r="U91" s="94">
        <f t="shared" si="12"/>
        <v>1865.14</v>
      </c>
      <c r="V91" s="94">
        <f t="shared" si="12"/>
        <v>1865.2400000000002</v>
      </c>
      <c r="W91" s="94">
        <f t="shared" si="12"/>
        <v>1836.14</v>
      </c>
      <c r="X91" s="94">
        <f t="shared" si="12"/>
        <v>1843.64</v>
      </c>
      <c r="Y91" s="94">
        <f t="shared" si="12"/>
        <v>1916.74</v>
      </c>
      <c r="Z91" s="94">
        <f t="shared" si="12"/>
        <v>1926.3400000000001</v>
      </c>
      <c r="AA91" s="94">
        <f t="shared" si="12"/>
        <v>1963.0400000000002</v>
      </c>
      <c r="AB91" s="94">
        <f t="shared" si="12"/>
        <v>1975.3400000000001</v>
      </c>
      <c r="AC91" s="94">
        <f t="shared" si="12"/>
        <v>1949.14</v>
      </c>
      <c r="AD91" s="94">
        <f t="shared" si="12"/>
        <v>1948.4400000000003</v>
      </c>
      <c r="AE91" s="94">
        <f t="shared" si="12"/>
        <v>1941.54</v>
      </c>
      <c r="AF91" s="94">
        <f>AF89+AF90</f>
        <v>1884.14</v>
      </c>
      <c r="AG91" s="87">
        <f>AG88+AG84+AG72+AG68+AG50+AG90</f>
        <v>1573.45</v>
      </c>
      <c r="AH91" s="47">
        <f t="shared" si="8"/>
        <v>1975.3400000000001</v>
      </c>
      <c r="AI91" s="48">
        <f t="shared" si="9"/>
        <v>1836.14</v>
      </c>
    </row>
    <row r="92" spans="1:40" ht="15.75" thickBot="1" x14ac:dyDescent="0.3">
      <c r="A92" s="73" t="s">
        <v>103</v>
      </c>
      <c r="B92" s="94">
        <v>1873.74</v>
      </c>
      <c r="C92" s="94">
        <v>1873.74</v>
      </c>
      <c r="D92" s="94">
        <v>1873.74</v>
      </c>
      <c r="E92" s="94">
        <v>1873.74</v>
      </c>
      <c r="F92" s="94">
        <v>1873.74</v>
      </c>
      <c r="G92" s="94">
        <v>1873.74</v>
      </c>
      <c r="H92" s="94">
        <v>1873.74</v>
      </c>
      <c r="I92" s="94">
        <v>1873.74</v>
      </c>
      <c r="J92" s="94">
        <v>1873.74</v>
      </c>
      <c r="K92" s="94">
        <f t="shared" ref="K92:AE92" si="13">K91-K99</f>
        <v>1841.1399999999999</v>
      </c>
      <c r="L92" s="94">
        <f t="shared" si="13"/>
        <v>1922.2400000000002</v>
      </c>
      <c r="M92" s="94">
        <f t="shared" si="13"/>
        <v>1926.7400000000002</v>
      </c>
      <c r="N92" s="94">
        <f t="shared" si="13"/>
        <v>1909.2399999999998</v>
      </c>
      <c r="O92" s="94">
        <f t="shared" si="13"/>
        <v>1915.4399999999998</v>
      </c>
      <c r="P92" s="94">
        <f t="shared" si="13"/>
        <v>1876.94</v>
      </c>
      <c r="Q92" s="94">
        <f t="shared" si="13"/>
        <v>1857.8400000000001</v>
      </c>
      <c r="R92" s="94">
        <f t="shared" si="13"/>
        <v>1861.24</v>
      </c>
      <c r="S92" s="94">
        <f t="shared" si="13"/>
        <v>1837.64</v>
      </c>
      <c r="T92" s="94">
        <f t="shared" si="13"/>
        <v>1836.5400000000002</v>
      </c>
      <c r="U92" s="94">
        <f t="shared" si="13"/>
        <v>1865.14</v>
      </c>
      <c r="V92" s="94">
        <f t="shared" si="13"/>
        <v>1865.2400000000002</v>
      </c>
      <c r="W92" s="94">
        <f t="shared" si="13"/>
        <v>1836.14</v>
      </c>
      <c r="X92" s="94">
        <f t="shared" si="13"/>
        <v>1843.64</v>
      </c>
      <c r="Y92" s="94">
        <f t="shared" si="13"/>
        <v>1916.74</v>
      </c>
      <c r="Z92" s="94">
        <f t="shared" si="13"/>
        <v>1926.3400000000001</v>
      </c>
      <c r="AA92" s="94">
        <f t="shared" si="13"/>
        <v>1963.0400000000002</v>
      </c>
      <c r="AB92" s="94">
        <f t="shared" si="13"/>
        <v>1975.3400000000001</v>
      </c>
      <c r="AC92" s="94">
        <f t="shared" si="13"/>
        <v>1949.14</v>
      </c>
      <c r="AD92" s="94">
        <f t="shared" si="13"/>
        <v>1948.4400000000003</v>
      </c>
      <c r="AE92" s="94">
        <f t="shared" si="13"/>
        <v>1941.54</v>
      </c>
      <c r="AF92" s="94">
        <f>AF91-AF99</f>
        <v>1884.14</v>
      </c>
      <c r="AG92" s="87"/>
      <c r="AH92" s="47">
        <f t="shared" si="8"/>
        <v>1975.3400000000001</v>
      </c>
      <c r="AI92" s="48">
        <f t="shared" si="9"/>
        <v>1836.14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v>0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60">
        <v>0</v>
      </c>
      <c r="I100" s="60">
        <v>0</v>
      </c>
      <c r="J100" s="60">
        <v>0</v>
      </c>
      <c r="K100" s="60">
        <f t="shared" ref="K100:AE100" si="14">K84-K99</f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18</v>
      </c>
      <c r="P100" s="60">
        <f t="shared" si="14"/>
        <v>0</v>
      </c>
      <c r="Q100" s="60">
        <f t="shared" si="14"/>
        <v>0</v>
      </c>
      <c r="R100" s="60">
        <f t="shared" si="14"/>
        <v>14.6</v>
      </c>
      <c r="S100" s="60">
        <f t="shared" si="14"/>
        <v>0</v>
      </c>
      <c r="T100" s="60">
        <f t="shared" si="14"/>
        <v>15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11</v>
      </c>
      <c r="Y100" s="60">
        <f t="shared" si="14"/>
        <v>10.6</v>
      </c>
      <c r="Z100" s="60">
        <f t="shared" si="14"/>
        <v>26.7</v>
      </c>
      <c r="AA100" s="60">
        <f t="shared" si="14"/>
        <v>2.1</v>
      </c>
      <c r="AB100" s="60">
        <f t="shared" si="14"/>
        <v>2.2999999999999998</v>
      </c>
      <c r="AC100" s="60">
        <f t="shared" si="14"/>
        <v>3</v>
      </c>
      <c r="AD100" s="60">
        <f t="shared" si="14"/>
        <v>1.9</v>
      </c>
      <c r="AE100" s="60">
        <f t="shared" si="14"/>
        <v>0</v>
      </c>
      <c r="AF100" s="60">
        <f>AF84-AF99</f>
        <v>0</v>
      </c>
      <c r="AG100" s="87"/>
      <c r="AH100" s="47">
        <f t="shared" si="8"/>
        <v>26.7</v>
      </c>
      <c r="AI100" s="48">
        <f t="shared" si="9"/>
        <v>0</v>
      </c>
    </row>
    <row r="101" spans="1:37" x14ac:dyDescent="0.25">
      <c r="A101" s="99" t="s">
        <v>109</v>
      </c>
      <c r="B101" s="100">
        <v>50.1</v>
      </c>
      <c r="C101" s="100">
        <v>50.1</v>
      </c>
      <c r="D101" s="100">
        <v>50.1</v>
      </c>
      <c r="E101" s="100">
        <v>50</v>
      </c>
      <c r="F101" s="100">
        <v>50</v>
      </c>
      <c r="G101" s="100">
        <v>49.92</v>
      </c>
      <c r="H101" s="100">
        <v>49.92</v>
      </c>
      <c r="I101" s="100">
        <v>49.92</v>
      </c>
      <c r="J101" s="100">
        <v>49.92</v>
      </c>
      <c r="K101" s="100">
        <v>50</v>
      </c>
      <c r="L101" s="100">
        <v>50.09</v>
      </c>
      <c r="M101" s="100">
        <v>5015</v>
      </c>
      <c r="N101" s="100">
        <v>50.087000000000003</v>
      </c>
      <c r="O101" s="100">
        <v>50.097999999999999</v>
      </c>
      <c r="P101" s="100">
        <v>50.04</v>
      </c>
      <c r="Q101" s="100">
        <v>50</v>
      </c>
      <c r="R101" s="100">
        <v>50.119</v>
      </c>
      <c r="S101" s="100">
        <v>49.927999999999997</v>
      </c>
      <c r="T101" s="100">
        <v>49.927999999999997</v>
      </c>
      <c r="U101" s="100">
        <v>49.927999999999997</v>
      </c>
      <c r="V101" s="100">
        <v>49.896999999999998</v>
      </c>
      <c r="W101" s="100">
        <v>49.991</v>
      </c>
      <c r="X101" s="100">
        <v>49.854999999999997</v>
      </c>
      <c r="Y101" s="100">
        <v>50.043999999999997</v>
      </c>
      <c r="Z101" s="100">
        <v>50.109000000000002</v>
      </c>
      <c r="AA101" s="100">
        <v>50.075000000000003</v>
      </c>
      <c r="AB101" s="100">
        <v>50.045999999999999</v>
      </c>
      <c r="AC101" s="100">
        <v>50.061999999999998</v>
      </c>
      <c r="AD101" s="100">
        <v>49.954999999999998</v>
      </c>
      <c r="AE101" s="100">
        <v>49.97</v>
      </c>
      <c r="AF101" s="100">
        <v>50</v>
      </c>
      <c r="AG101" s="101"/>
      <c r="AH101" s="47">
        <f t="shared" si="8"/>
        <v>5015</v>
      </c>
      <c r="AI101" s="48">
        <f t="shared" si="9"/>
        <v>49.854999999999997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130.5</v>
      </c>
      <c r="C103" s="64">
        <v>130.5</v>
      </c>
      <c r="D103" s="64">
        <v>130.5</v>
      </c>
      <c r="E103" s="64">
        <v>130.5</v>
      </c>
      <c r="F103" s="64">
        <v>131.19999999999999</v>
      </c>
      <c r="G103" s="64">
        <v>130.9</v>
      </c>
      <c r="H103" s="64">
        <v>130.9</v>
      </c>
      <c r="I103" s="64">
        <v>130.9</v>
      </c>
      <c r="J103" s="64">
        <v>130.9</v>
      </c>
      <c r="K103" s="64">
        <v>126.3</v>
      </c>
      <c r="L103" s="64">
        <v>126.3</v>
      </c>
      <c r="M103" s="64">
        <v>126.5</v>
      </c>
      <c r="N103" s="64">
        <v>127.1</v>
      </c>
      <c r="O103" s="64">
        <v>128.19999999999999</v>
      </c>
      <c r="P103" s="64">
        <v>127.7</v>
      </c>
      <c r="Q103" s="64">
        <v>128</v>
      </c>
      <c r="R103" s="64">
        <v>127.1</v>
      </c>
      <c r="S103" s="64">
        <v>126.5</v>
      </c>
      <c r="T103" s="64">
        <v>126.5</v>
      </c>
      <c r="U103" s="64">
        <v>126.5</v>
      </c>
      <c r="V103" s="64">
        <v>128.30000000000001</v>
      </c>
      <c r="W103" s="64">
        <v>128.5</v>
      </c>
      <c r="X103" s="64">
        <v>128.80000000000001</v>
      </c>
      <c r="Y103" s="64">
        <v>128.9</v>
      </c>
      <c r="Z103" s="64">
        <v>128.5</v>
      </c>
      <c r="AA103" s="64">
        <v>129.1</v>
      </c>
      <c r="AB103" s="64">
        <v>129.69999999999999</v>
      </c>
      <c r="AC103" s="64">
        <v>129.19999999999999</v>
      </c>
      <c r="AD103" s="64">
        <v>129</v>
      </c>
      <c r="AE103" s="64">
        <v>129.19999999999999</v>
      </c>
      <c r="AF103" s="64">
        <v>128.19999999999999</v>
      </c>
      <c r="AG103" s="103"/>
      <c r="AH103" s="47">
        <f t="shared" si="8"/>
        <v>131.19999999999999</v>
      </c>
      <c r="AI103" s="48">
        <f t="shared" si="9"/>
        <v>126.3</v>
      </c>
    </row>
    <row r="104" spans="1:37" x14ac:dyDescent="0.25">
      <c r="A104" s="102" t="s">
        <v>112</v>
      </c>
      <c r="B104" s="64">
        <v>129.4</v>
      </c>
      <c r="C104" s="64">
        <v>129.4</v>
      </c>
      <c r="D104" s="64">
        <v>129.4</v>
      </c>
      <c r="E104" s="64">
        <v>131.1</v>
      </c>
      <c r="F104" s="64">
        <v>130.30000000000001</v>
      </c>
      <c r="G104" s="64">
        <v>131.6</v>
      </c>
      <c r="H104" s="64">
        <v>131.6</v>
      </c>
      <c r="I104" s="64">
        <v>131.6</v>
      </c>
      <c r="J104" s="64">
        <v>131.6</v>
      </c>
      <c r="K104" s="64">
        <v>128.5</v>
      </c>
      <c r="L104" s="64">
        <v>128.5</v>
      </c>
      <c r="M104" s="64">
        <v>126.9</v>
      </c>
      <c r="N104" s="64">
        <v>130.4</v>
      </c>
      <c r="O104" s="64">
        <v>130</v>
      </c>
      <c r="P104" s="64">
        <v>130.4</v>
      </c>
      <c r="Q104" s="64">
        <v>129.69999999999999</v>
      </c>
      <c r="R104" s="64">
        <v>128.30000000000001</v>
      </c>
      <c r="S104" s="64">
        <v>128.1</v>
      </c>
      <c r="T104" s="64">
        <v>128.1</v>
      </c>
      <c r="U104" s="64">
        <v>128.1</v>
      </c>
      <c r="V104" s="64">
        <v>130.69999999999999</v>
      </c>
      <c r="W104" s="64">
        <v>131.5</v>
      </c>
      <c r="X104" s="64">
        <v>130.9</v>
      </c>
      <c r="Y104" s="64">
        <v>128.6</v>
      </c>
      <c r="Z104" s="64">
        <v>130.80000000000001</v>
      </c>
      <c r="AA104" s="64">
        <v>131.1</v>
      </c>
      <c r="AB104" s="64">
        <v>128.30000000000001</v>
      </c>
      <c r="AC104" s="64">
        <v>127.7</v>
      </c>
      <c r="AD104" s="64">
        <v>127.3</v>
      </c>
      <c r="AE104" s="64">
        <v>129.4</v>
      </c>
      <c r="AF104" s="64">
        <v>128.80000000000001</v>
      </c>
      <c r="AG104" s="103"/>
      <c r="AH104" s="47">
        <f t="shared" si="8"/>
        <v>131.6</v>
      </c>
      <c r="AI104" s="48">
        <f t="shared" si="9"/>
        <v>126.9</v>
      </c>
    </row>
    <row r="105" spans="1:37" x14ac:dyDescent="0.25">
      <c r="A105" s="104" t="s">
        <v>113</v>
      </c>
      <c r="B105" s="64">
        <v>133</v>
      </c>
      <c r="C105" s="64">
        <v>133</v>
      </c>
      <c r="D105" s="64">
        <v>133</v>
      </c>
      <c r="E105" s="64">
        <v>133.4</v>
      </c>
      <c r="F105" s="64">
        <v>133.19999999999999</v>
      </c>
      <c r="G105" s="64">
        <v>134.30000000000001</v>
      </c>
      <c r="H105" s="64">
        <v>134.30000000000001</v>
      </c>
      <c r="I105" s="64">
        <v>134.30000000000001</v>
      </c>
      <c r="J105" s="64">
        <v>134.30000000000001</v>
      </c>
      <c r="K105" s="64">
        <v>130</v>
      </c>
      <c r="L105" s="64">
        <v>130</v>
      </c>
      <c r="M105" s="64">
        <v>128.9</v>
      </c>
      <c r="N105" s="64">
        <v>132.4</v>
      </c>
      <c r="O105" s="64">
        <v>131.4</v>
      </c>
      <c r="P105" s="64">
        <v>131.5</v>
      </c>
      <c r="Q105" s="64">
        <v>131</v>
      </c>
      <c r="R105" s="64">
        <v>130.6</v>
      </c>
      <c r="S105" s="64">
        <v>130.19999999999999</v>
      </c>
      <c r="T105" s="64">
        <v>130.19999999999999</v>
      </c>
      <c r="U105" s="64">
        <v>130.19999999999999</v>
      </c>
      <c r="V105" s="64">
        <v>132.80000000000001</v>
      </c>
      <c r="W105" s="64">
        <v>133.19999999999999</v>
      </c>
      <c r="X105" s="64">
        <v>132.5</v>
      </c>
      <c r="Y105" s="64">
        <v>130.19999999999999</v>
      </c>
      <c r="Z105" s="64">
        <v>132.1</v>
      </c>
      <c r="AA105" s="64">
        <v>132.4</v>
      </c>
      <c r="AB105" s="64">
        <v>130.9</v>
      </c>
      <c r="AC105" s="64">
        <v>130.4</v>
      </c>
      <c r="AD105" s="64">
        <v>130.4</v>
      </c>
      <c r="AE105" s="64">
        <v>133.1</v>
      </c>
      <c r="AF105" s="64">
        <v>132.6</v>
      </c>
      <c r="AG105" s="103"/>
      <c r="AH105" s="47">
        <f t="shared" si="8"/>
        <v>134.30000000000001</v>
      </c>
      <c r="AI105" s="48">
        <f t="shared" si="9"/>
        <v>128.9</v>
      </c>
    </row>
    <row r="106" spans="1:37" x14ac:dyDescent="0.25">
      <c r="A106" s="104" t="s">
        <v>114</v>
      </c>
      <c r="B106" s="105">
        <v>133</v>
      </c>
      <c r="C106" s="105">
        <v>133</v>
      </c>
      <c r="D106" s="105">
        <v>133</v>
      </c>
      <c r="E106" s="105">
        <v>133.19999999999999</v>
      </c>
      <c r="F106" s="105">
        <v>132.6</v>
      </c>
      <c r="G106" s="105">
        <v>131.9</v>
      </c>
      <c r="H106" s="105">
        <v>131.9</v>
      </c>
      <c r="I106" s="105">
        <v>131.9</v>
      </c>
      <c r="J106" s="105">
        <v>131.9</v>
      </c>
      <c r="K106" s="105">
        <v>130.9</v>
      </c>
      <c r="L106" s="105">
        <v>130.9</v>
      </c>
      <c r="M106" s="105">
        <v>130</v>
      </c>
      <c r="N106" s="105">
        <v>132.9</v>
      </c>
      <c r="O106" s="105">
        <v>133.6</v>
      </c>
      <c r="P106" s="105">
        <v>131.4</v>
      </c>
      <c r="Q106" s="105">
        <v>131.9</v>
      </c>
      <c r="R106" s="105">
        <v>132.4</v>
      </c>
      <c r="S106" s="105">
        <v>130.6</v>
      </c>
      <c r="T106" s="105">
        <v>130.6</v>
      </c>
      <c r="U106" s="105">
        <v>130.6</v>
      </c>
      <c r="V106" s="105">
        <v>134</v>
      </c>
      <c r="W106" s="105">
        <v>134.5</v>
      </c>
      <c r="X106" s="105">
        <v>134.9</v>
      </c>
      <c r="Y106" s="105">
        <v>135</v>
      </c>
      <c r="Z106" s="105">
        <v>133.5</v>
      </c>
      <c r="AA106" s="105">
        <v>132.19999999999999</v>
      </c>
      <c r="AB106" s="105">
        <v>131.69999999999999</v>
      </c>
      <c r="AC106" s="105">
        <v>131.6</v>
      </c>
      <c r="AD106" s="105">
        <v>132.1</v>
      </c>
      <c r="AE106" s="105">
        <v>131.9</v>
      </c>
      <c r="AF106" s="105">
        <v>130.6</v>
      </c>
      <c r="AG106" s="106"/>
      <c r="AH106" s="47">
        <f t="shared" si="8"/>
        <v>135</v>
      </c>
      <c r="AI106" s="48">
        <f t="shared" si="9"/>
        <v>130</v>
      </c>
    </row>
    <row r="107" spans="1:37" x14ac:dyDescent="0.25">
      <c r="A107" s="102" t="s">
        <v>115</v>
      </c>
      <c r="B107" s="64"/>
      <c r="C107" s="64"/>
      <c r="D107" s="64"/>
      <c r="E107" s="64">
        <v>133.30000000000001</v>
      </c>
      <c r="F107" s="64">
        <v>134.4</v>
      </c>
      <c r="G107" s="64">
        <v>135.4</v>
      </c>
      <c r="H107" s="64">
        <v>135.4</v>
      </c>
      <c r="I107" s="64">
        <v>135.4</v>
      </c>
      <c r="J107" s="64">
        <v>135.4</v>
      </c>
      <c r="K107" s="64">
        <v>133</v>
      </c>
      <c r="L107" s="64">
        <v>133</v>
      </c>
      <c r="M107" s="64">
        <v>132.69999999999999</v>
      </c>
      <c r="N107" s="64">
        <v>132.9</v>
      </c>
      <c r="O107" s="64">
        <v>131.30000000000001</v>
      </c>
      <c r="P107" s="64">
        <v>132</v>
      </c>
      <c r="Q107" s="64">
        <v>133</v>
      </c>
      <c r="R107" s="64">
        <v>132.4</v>
      </c>
      <c r="S107" s="64">
        <v>129.69999999999999</v>
      </c>
      <c r="T107" s="64">
        <v>129.69999999999999</v>
      </c>
      <c r="U107" s="64">
        <v>129.69999999999999</v>
      </c>
      <c r="V107" s="64">
        <v>134</v>
      </c>
      <c r="W107" s="64">
        <v>133.9</v>
      </c>
      <c r="X107" s="64">
        <v>132</v>
      </c>
      <c r="Y107" s="64">
        <v>136.69999999999999</v>
      </c>
      <c r="Z107" s="64">
        <v>131.30000000000001</v>
      </c>
      <c r="AA107" s="64">
        <v>129</v>
      </c>
      <c r="AB107" s="64">
        <v>131.30000000000001</v>
      </c>
      <c r="AC107" s="64">
        <v>131.6</v>
      </c>
      <c r="AD107" s="64">
        <v>131.69999999999999</v>
      </c>
      <c r="AE107" s="64">
        <v>129</v>
      </c>
      <c r="AF107" s="64">
        <v>126.6</v>
      </c>
      <c r="AG107" s="103"/>
      <c r="AH107" s="47">
        <f t="shared" si="8"/>
        <v>136.69999999999999</v>
      </c>
      <c r="AI107" s="48">
        <f t="shared" si="9"/>
        <v>126.6</v>
      </c>
    </row>
    <row r="108" spans="1:37" ht="15.75" thickBot="1" x14ac:dyDescent="0.3">
      <c r="A108" s="102" t="s">
        <v>116</v>
      </c>
      <c r="B108" s="91">
        <v>65.599999999999994</v>
      </c>
      <c r="C108" s="91">
        <v>65.599999999999994</v>
      </c>
      <c r="D108" s="91">
        <v>65.599999999999994</v>
      </c>
      <c r="E108" s="91">
        <v>65.599999999999994</v>
      </c>
      <c r="F108" s="91">
        <v>66.099999999999994</v>
      </c>
      <c r="G108" s="91">
        <v>65.7</v>
      </c>
      <c r="H108" s="91">
        <v>65.7</v>
      </c>
      <c r="I108" s="91">
        <v>65.7</v>
      </c>
      <c r="J108" s="91">
        <v>65.7</v>
      </c>
      <c r="K108" s="91">
        <v>63.4</v>
      </c>
      <c r="L108" s="91">
        <v>63.4</v>
      </c>
      <c r="M108" s="91">
        <v>63.7</v>
      </c>
      <c r="N108" s="91">
        <v>63.8</v>
      </c>
      <c r="O108" s="91">
        <v>64</v>
      </c>
      <c r="P108" s="91">
        <v>64</v>
      </c>
      <c r="Q108" s="91">
        <v>64.3</v>
      </c>
      <c r="R108" s="91">
        <v>63.8</v>
      </c>
      <c r="S108" s="91">
        <v>63.6</v>
      </c>
      <c r="T108" s="91">
        <v>63.6</v>
      </c>
      <c r="U108" s="91">
        <v>63.6</v>
      </c>
      <c r="V108" s="91">
        <v>64.400000000000006</v>
      </c>
      <c r="W108" s="91">
        <v>64.599999999999994</v>
      </c>
      <c r="X108" s="91">
        <v>64.900000000000006</v>
      </c>
      <c r="Y108" s="91">
        <v>64.8</v>
      </c>
      <c r="Z108" s="91">
        <v>64.7</v>
      </c>
      <c r="AA108" s="91">
        <v>64.8</v>
      </c>
      <c r="AB108" s="91">
        <v>65.3</v>
      </c>
      <c r="AC108" s="91">
        <v>64.900000000000006</v>
      </c>
      <c r="AD108" s="91">
        <v>64.8</v>
      </c>
      <c r="AE108" s="91">
        <v>64.599999999999994</v>
      </c>
      <c r="AF108" s="91">
        <v>64.2</v>
      </c>
      <c r="AG108" s="107"/>
      <c r="AH108" s="47">
        <f t="shared" si="8"/>
        <v>66.099999999999994</v>
      </c>
      <c r="AI108" s="48">
        <f t="shared" si="9"/>
        <v>63.4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60.399999999999977</v>
      </c>
      <c r="C110" s="110">
        <v>60.399999999999977</v>
      </c>
      <c r="D110" s="110">
        <v>60.4</v>
      </c>
      <c r="E110" s="110">
        <v>60.4</v>
      </c>
      <c r="F110" s="110">
        <v>60.4</v>
      </c>
      <c r="G110" s="110">
        <v>60.4</v>
      </c>
      <c r="H110" s="110">
        <v>60.4</v>
      </c>
      <c r="I110" s="110">
        <v>60.4</v>
      </c>
      <c r="J110" s="110">
        <v>60.4</v>
      </c>
      <c r="K110" s="110">
        <f>SUM(K20,K26,K29:K30,K58,K60:K61,K63,K65,K111:K115,K138,K144,K150,K159,K161,K173,K180,K183:K184,K191,K193,K195,K199:K201,K203:K205,K210,K216:K217,K219:K221,K229,K234)</f>
        <v>258.54000000000002</v>
      </c>
      <c r="L110" s="110">
        <f>SUM(L20,L26,L29:L30,L58,L60:L61,L63,L65,L111:L115,L138,L144,L150,L159,L161,L173,L180,L183:L184,L191,L193,L195,L199:L201,L203:L205,L210,L216:L217,L219:L221,L229,L234)</f>
        <v>171.54</v>
      </c>
      <c r="M110" s="110">
        <f>SUM(M20,M26,M29:M30,M58,M60:M61,M63,M65,M111:M115,M138,M144,M150,M159,M161,M173,M180,M183:M184,M191,M193,M195,M199:M201,M203:M205,M210,M216:M217,M219:M221,M229,M234)</f>
        <v>177.23999999999995</v>
      </c>
      <c r="N110" s="110">
        <f>SUM(N20,N26,N29:N30,N58,N60:N61,N63,N65,N111:N115,N138,N144,N150,N159,N161,N173,N180,N183:N184,N191,N193,N195,N199:N201,N203:N205,N210,N216:N217,N219:N221,N229,N234)</f>
        <v>189.53999999999996</v>
      </c>
      <c r="O110" s="110">
        <f>SUM(O20,O26,O29:O30,O58,O60:O61,O63,O65,O111:O115,O138,O144,O150,O159,O161,O173,O180,O183:O184,O191,O193,O195,O199:O201,O203:O205,O210,O216:O217,O219:O221,O229,O234)</f>
        <v>184.74</v>
      </c>
      <c r="P110" s="110">
        <v>42</v>
      </c>
      <c r="Q110" s="110">
        <f t="shared" ref="Q110:AF110" si="15">SUM(Q20,Q26,Q29:Q30,Q58,Q60:Q61,Q63,Q65,Q111:Q115,Q138,Q144,Q150,Q159,Q161,Q173,Q180,Q183:Q184,Q191,Q193,Q195,Q199:Q201,Q203:Q205,Q210,Q216:Q217,Q219:Q221,Q229,Q234)</f>
        <v>148.10000000000002</v>
      </c>
      <c r="R110" s="110">
        <f t="shared" si="15"/>
        <v>181.2</v>
      </c>
      <c r="S110" s="110">
        <f t="shared" si="15"/>
        <v>164.70000000000002</v>
      </c>
      <c r="T110" s="110">
        <f t="shared" si="15"/>
        <v>162.20000000000002</v>
      </c>
      <c r="U110" s="110">
        <f>SUM(U20,U26,U29:U30,U58,U60:U61,U63,U65,U111:U115,U138,U144,U150,U159,U161,U173,U180,U183:U184,U191,U193,U195,U199:U201,U203:U205,U210,U216:U217,U219:U221,U229,U234)</f>
        <v>204.8</v>
      </c>
      <c r="V110" s="110">
        <f>SUM(V20,V26,V29:V30,V58,V60:V61,V63,V65,V111:V115,V138,V144,V150,V159,V161,V173,V180,V183:V184,V191,V193,V195,V199:V201,V203:V205,V210,V216:V217,V219:V221,V229,V234)</f>
        <v>158.9</v>
      </c>
      <c r="W110" s="110">
        <f t="shared" si="15"/>
        <v>188.79999999999995</v>
      </c>
      <c r="X110" s="110">
        <f t="shared" si="15"/>
        <v>202.7</v>
      </c>
      <c r="Y110" s="110">
        <f t="shared" si="15"/>
        <v>234.79999999999998</v>
      </c>
      <c r="Z110" s="110">
        <f t="shared" si="15"/>
        <v>255.3</v>
      </c>
      <c r="AA110" s="110">
        <f t="shared" si="15"/>
        <v>235.3</v>
      </c>
      <c r="AB110" s="110">
        <f t="shared" si="15"/>
        <v>179.69999999999996</v>
      </c>
      <c r="AC110" s="110">
        <f t="shared" si="15"/>
        <v>163.39999999999998</v>
      </c>
      <c r="AD110" s="110"/>
      <c r="AE110" s="110">
        <f t="shared" si="15"/>
        <v>77.000000000000014</v>
      </c>
      <c r="AF110" s="110">
        <f t="shared" si="15"/>
        <v>48.3</v>
      </c>
      <c r="AG110" s="111"/>
      <c r="AH110" s="47">
        <f t="shared" si="8"/>
        <v>258.54000000000002</v>
      </c>
      <c r="AI110" s="48">
        <f t="shared" si="9"/>
        <v>42</v>
      </c>
    </row>
    <row r="111" spans="1:37" x14ac:dyDescent="0.25">
      <c r="A111" s="99" t="s">
        <v>119</v>
      </c>
      <c r="B111" s="112">
        <v>20</v>
      </c>
      <c r="C111" s="112">
        <v>20</v>
      </c>
      <c r="D111" s="112">
        <v>20</v>
      </c>
      <c r="E111" s="112">
        <v>17.7</v>
      </c>
      <c r="F111" s="112">
        <v>15.4</v>
      </c>
      <c r="G111" s="112">
        <v>15.3</v>
      </c>
      <c r="H111" s="112">
        <v>15.3</v>
      </c>
      <c r="I111" s="112">
        <v>25</v>
      </c>
      <c r="J111" s="112">
        <v>25</v>
      </c>
      <c r="K111" s="112">
        <v>35</v>
      </c>
      <c r="L111" s="112">
        <v>44</v>
      </c>
      <c r="M111" s="112">
        <v>49.3</v>
      </c>
      <c r="N111" s="112">
        <v>43</v>
      </c>
      <c r="O111" s="112">
        <v>42.5</v>
      </c>
      <c r="P111" s="112">
        <v>39.200000000000003</v>
      </c>
      <c r="Q111" s="112">
        <v>38</v>
      </c>
      <c r="R111" s="112">
        <v>42.7</v>
      </c>
      <c r="S111" s="112">
        <v>50.2</v>
      </c>
      <c r="T111" s="112">
        <v>50.2</v>
      </c>
      <c r="U111" s="112">
        <v>50.2</v>
      </c>
      <c r="V111" s="112">
        <v>49.5</v>
      </c>
      <c r="W111" s="112">
        <v>50.3</v>
      </c>
      <c r="X111" s="112">
        <v>54.1</v>
      </c>
      <c r="Y111" s="112">
        <v>49.4</v>
      </c>
      <c r="Z111" s="112">
        <v>37.700000000000003</v>
      </c>
      <c r="AA111" s="112">
        <v>34.5</v>
      </c>
      <c r="AB111" s="112">
        <v>38</v>
      </c>
      <c r="AC111" s="112">
        <v>34.4</v>
      </c>
      <c r="AD111" s="112">
        <v>33.5</v>
      </c>
      <c r="AE111" s="112">
        <v>19.899999999999999</v>
      </c>
      <c r="AF111" s="112">
        <v>16.3</v>
      </c>
      <c r="AG111" s="113">
        <v>75</v>
      </c>
      <c r="AH111" s="47">
        <f t="shared" si="8"/>
        <v>54.1</v>
      </c>
      <c r="AI111" s="48">
        <f t="shared" si="9"/>
        <v>15.3</v>
      </c>
    </row>
    <row r="112" spans="1:37" x14ac:dyDescent="0.25">
      <c r="A112" s="102" t="s">
        <v>120</v>
      </c>
      <c r="B112" s="114">
        <v>29</v>
      </c>
      <c r="C112" s="114">
        <v>29</v>
      </c>
      <c r="D112" s="114">
        <v>29</v>
      </c>
      <c r="E112" s="114">
        <v>27.6</v>
      </c>
      <c r="F112" s="114">
        <v>23.7</v>
      </c>
      <c r="G112" s="114">
        <v>24.3</v>
      </c>
      <c r="H112" s="114">
        <v>24.3</v>
      </c>
      <c r="I112" s="114">
        <v>34.700000000000003</v>
      </c>
      <c r="J112" s="114">
        <v>34.700000000000003</v>
      </c>
      <c r="K112" s="114">
        <v>40</v>
      </c>
      <c r="L112" s="114">
        <v>58</v>
      </c>
      <c r="M112" s="114">
        <v>66.400000000000006</v>
      </c>
      <c r="N112" s="114">
        <v>55.6</v>
      </c>
      <c r="O112" s="114">
        <v>54.1</v>
      </c>
      <c r="P112" s="114">
        <v>50</v>
      </c>
      <c r="Q112" s="114">
        <v>49.3</v>
      </c>
      <c r="R112" s="114">
        <v>54.5</v>
      </c>
      <c r="S112" s="114">
        <v>65.400000000000006</v>
      </c>
      <c r="T112" s="114">
        <v>65.400000000000006</v>
      </c>
      <c r="U112" s="114">
        <v>65.400000000000006</v>
      </c>
      <c r="V112" s="114">
        <v>64.900000000000006</v>
      </c>
      <c r="W112" s="114">
        <v>66.7</v>
      </c>
      <c r="X112" s="114">
        <v>75.099999999999994</v>
      </c>
      <c r="Y112" s="114">
        <v>65.2</v>
      </c>
      <c r="Z112" s="114">
        <v>48.7</v>
      </c>
      <c r="AA112" s="114">
        <v>46.9</v>
      </c>
      <c r="AB112" s="114">
        <v>49.6</v>
      </c>
      <c r="AC112" s="114">
        <v>42.9</v>
      </c>
      <c r="AD112" s="114">
        <v>43.3</v>
      </c>
      <c r="AE112" s="114">
        <v>24.7</v>
      </c>
      <c r="AF112" s="114">
        <v>20.100000000000001</v>
      </c>
      <c r="AG112" s="113">
        <v>240</v>
      </c>
      <c r="AH112" s="47">
        <f t="shared" si="8"/>
        <v>75.099999999999994</v>
      </c>
      <c r="AI112" s="48">
        <f t="shared" si="9"/>
        <v>20.100000000000001</v>
      </c>
    </row>
    <row r="113" spans="1:37" x14ac:dyDescent="0.25">
      <c r="A113" s="102" t="s">
        <v>121</v>
      </c>
      <c r="B113" s="114">
        <v>-115</v>
      </c>
      <c r="C113" s="114">
        <v>-115</v>
      </c>
      <c r="D113" s="114">
        <v>-115</v>
      </c>
      <c r="E113" s="114">
        <v>109</v>
      </c>
      <c r="F113" s="114">
        <v>-100.8</v>
      </c>
      <c r="G113" s="114">
        <v>-88.9</v>
      </c>
      <c r="H113" s="114">
        <v>-88.9</v>
      </c>
      <c r="I113" s="114">
        <v>-63.8</v>
      </c>
      <c r="J113" s="114">
        <v>-63.8</v>
      </c>
      <c r="K113" s="114">
        <v>70</v>
      </c>
      <c r="L113" s="114">
        <v>-76</v>
      </c>
      <c r="M113" s="114">
        <v>-86.2</v>
      </c>
      <c r="N113" s="114">
        <v>-85</v>
      </c>
      <c r="O113" s="114">
        <v>-92</v>
      </c>
      <c r="P113" s="114">
        <v>-78.099999999999994</v>
      </c>
      <c r="Q113" s="114">
        <v>-90</v>
      </c>
      <c r="R113" s="114">
        <v>-37</v>
      </c>
      <c r="S113" s="114">
        <v>-62</v>
      </c>
      <c r="T113" s="114">
        <v>-62</v>
      </c>
      <c r="U113" s="114">
        <v>-62</v>
      </c>
      <c r="V113" s="114">
        <v>-85</v>
      </c>
      <c r="W113" s="114">
        <v>-80</v>
      </c>
      <c r="X113" s="114">
        <v>-91</v>
      </c>
      <c r="Y113" s="114">
        <v>-55</v>
      </c>
      <c r="Z113" s="114">
        <v>-50</v>
      </c>
      <c r="AA113" s="114">
        <v>-62</v>
      </c>
      <c r="AB113" s="114">
        <f>-43.6-46.2</f>
        <v>-89.800000000000011</v>
      </c>
      <c r="AC113" s="114">
        <f>-41-43.9</f>
        <v>-84.9</v>
      </c>
      <c r="AD113" s="114">
        <f>-51-54</f>
        <v>-105</v>
      </c>
      <c r="AE113" s="114">
        <f>-57.6-61</f>
        <v>-118.6</v>
      </c>
      <c r="AF113" s="114">
        <f>-59.8-63.4</f>
        <v>-123.19999999999999</v>
      </c>
      <c r="AG113" s="113">
        <v>240</v>
      </c>
      <c r="AH113" s="47">
        <f t="shared" si="8"/>
        <v>109</v>
      </c>
      <c r="AI113" s="48">
        <f t="shared" si="9"/>
        <v>-123.19999999999999</v>
      </c>
    </row>
    <row r="114" spans="1:37" x14ac:dyDescent="0.25">
      <c r="A114" s="102" t="s">
        <v>122</v>
      </c>
      <c r="B114" s="114">
        <v>-8</v>
      </c>
      <c r="C114" s="114">
        <v>-8</v>
      </c>
      <c r="D114" s="114">
        <v>-8</v>
      </c>
      <c r="E114" s="114">
        <v>-7.7</v>
      </c>
      <c r="F114" s="114">
        <v>-6.4</v>
      </c>
      <c r="G114" s="114">
        <v>-3.2</v>
      </c>
      <c r="H114" s="114">
        <v>-3.2</v>
      </c>
      <c r="I114" s="114">
        <v>2.2000000000000002</v>
      </c>
      <c r="J114" s="114">
        <v>2.2000000000000002</v>
      </c>
      <c r="K114" s="114">
        <v>3</v>
      </c>
      <c r="L114" s="114">
        <v>5</v>
      </c>
      <c r="M114" s="114">
        <v>6.2</v>
      </c>
      <c r="N114" s="114">
        <v>4.2</v>
      </c>
      <c r="O114" s="114">
        <v>7.5</v>
      </c>
      <c r="P114" s="114">
        <v>8.6999999999999993</v>
      </c>
      <c r="Q114" s="114">
        <v>-0.8</v>
      </c>
      <c r="R114" s="114">
        <v>11.2</v>
      </c>
      <c r="S114" s="114">
        <v>5.9</v>
      </c>
      <c r="T114" s="114">
        <v>5.9</v>
      </c>
      <c r="U114" s="114">
        <v>5.9</v>
      </c>
      <c r="V114" s="114">
        <v>12</v>
      </c>
      <c r="W114" s="114">
        <v>11.2</v>
      </c>
      <c r="X114" s="114">
        <v>14.3</v>
      </c>
      <c r="Y114" s="114">
        <v>18.2</v>
      </c>
      <c r="Z114" s="114">
        <v>20</v>
      </c>
      <c r="AA114" s="114">
        <v>17</v>
      </c>
      <c r="AB114" s="114">
        <v>12.6</v>
      </c>
      <c r="AC114" s="114">
        <v>12.2</v>
      </c>
      <c r="AD114" s="114">
        <v>9.1</v>
      </c>
      <c r="AE114" s="114">
        <v>-3</v>
      </c>
      <c r="AF114" s="114">
        <v>-6.1</v>
      </c>
      <c r="AG114" s="113">
        <v>60</v>
      </c>
      <c r="AH114" s="47">
        <f t="shared" si="8"/>
        <v>20</v>
      </c>
      <c r="AI114" s="48">
        <f t="shared" si="9"/>
        <v>-8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26.2</v>
      </c>
      <c r="O115" s="116">
        <v>32</v>
      </c>
      <c r="P115" s="116">
        <v>33</v>
      </c>
      <c r="Q115" s="116">
        <v>28.3</v>
      </c>
      <c r="R115" s="116">
        <v>27.5</v>
      </c>
      <c r="S115" s="116">
        <v>27.9</v>
      </c>
      <c r="T115" s="116">
        <v>27.9</v>
      </c>
      <c r="U115" s="116">
        <v>27.9</v>
      </c>
      <c r="V115" s="116">
        <v>0</v>
      </c>
      <c r="W115" s="116">
        <v>0</v>
      </c>
      <c r="X115" s="116">
        <v>0</v>
      </c>
      <c r="Y115" s="116">
        <v>12.1</v>
      </c>
      <c r="Z115" s="116">
        <v>54</v>
      </c>
      <c r="AA115" s="116">
        <v>54</v>
      </c>
      <c r="AB115" s="116">
        <v>29.2</v>
      </c>
      <c r="AC115" s="116">
        <v>24.2</v>
      </c>
      <c r="AD115" s="116">
        <v>24.5</v>
      </c>
      <c r="AE115" s="116">
        <v>24.7</v>
      </c>
      <c r="AF115" s="116">
        <v>24.8</v>
      </c>
      <c r="AG115" s="117">
        <v>120</v>
      </c>
      <c r="AH115" s="47">
        <f t="shared" si="8"/>
        <v>54</v>
      </c>
      <c r="AI115" s="48">
        <f t="shared" si="9"/>
        <v>0</v>
      </c>
    </row>
    <row r="116" spans="1:37" x14ac:dyDescent="0.25">
      <c r="A116" s="115" t="s">
        <v>124</v>
      </c>
      <c r="B116" s="116">
        <v>42</v>
      </c>
      <c r="C116" s="116">
        <v>42</v>
      </c>
      <c r="D116" s="116">
        <v>42</v>
      </c>
      <c r="E116" s="116">
        <v>48.7</v>
      </c>
      <c r="F116" s="116">
        <v>52.1</v>
      </c>
      <c r="G116" s="116">
        <v>54.5</v>
      </c>
      <c r="H116" s="116">
        <v>54.5</v>
      </c>
      <c r="I116" s="116">
        <v>65.599999999999994</v>
      </c>
      <c r="J116" s="116">
        <v>65.599999999999994</v>
      </c>
      <c r="K116" s="116">
        <v>52</v>
      </c>
      <c r="L116" s="116">
        <v>45</v>
      </c>
      <c r="M116" s="116">
        <v>25.85</v>
      </c>
      <c r="N116" s="116">
        <v>33.700000000000003</v>
      </c>
      <c r="O116" s="116">
        <v>21.3</v>
      </c>
      <c r="P116" s="116">
        <v>33.1</v>
      </c>
      <c r="Q116" s="116">
        <v>21.6</v>
      </c>
      <c r="R116" s="116">
        <v>46.6</v>
      </c>
      <c r="S116" s="116">
        <v>23.9</v>
      </c>
      <c r="T116" s="116">
        <v>23.9</v>
      </c>
      <c r="U116" s="116">
        <v>23.9</v>
      </c>
      <c r="V116" s="116">
        <v>4</v>
      </c>
      <c r="W116" s="116">
        <v>0</v>
      </c>
      <c r="X116" s="116">
        <v>-4</v>
      </c>
      <c r="Y116" s="116">
        <v>35</v>
      </c>
      <c r="Z116" s="116">
        <v>57</v>
      </c>
      <c r="AA116" s="116">
        <v>54</v>
      </c>
      <c r="AB116" s="116">
        <v>32.299999999999997</v>
      </c>
      <c r="AC116" s="116">
        <v>42.6</v>
      </c>
      <c r="AD116" s="116">
        <v>22.2</v>
      </c>
      <c r="AE116" s="116">
        <v>38.5</v>
      </c>
      <c r="AF116" s="116">
        <v>48.7</v>
      </c>
      <c r="AG116" s="117"/>
      <c r="AH116" s="47">
        <f t="shared" si="8"/>
        <v>65.599999999999994</v>
      </c>
      <c r="AI116" s="48">
        <f t="shared" si="9"/>
        <v>-4</v>
      </c>
    </row>
    <row r="117" spans="1:37" x14ac:dyDescent="0.25">
      <c r="A117" s="115" t="s">
        <v>125</v>
      </c>
      <c r="B117" s="116">
        <v>-26</v>
      </c>
      <c r="C117" s="116">
        <v>-26</v>
      </c>
      <c r="D117" s="116">
        <v>-26</v>
      </c>
      <c r="E117" s="116">
        <v>-27</v>
      </c>
      <c r="F117" s="116">
        <v>-18.100000000000001</v>
      </c>
      <c r="G117" s="116">
        <v>-15.6</v>
      </c>
      <c r="H117" s="116">
        <v>-15.6</v>
      </c>
      <c r="I117" s="116">
        <v>-26.4</v>
      </c>
      <c r="J117" s="116">
        <v>-26.4</v>
      </c>
      <c r="K117" s="116">
        <v>-28</v>
      </c>
      <c r="L117" s="116">
        <v>-31</v>
      </c>
      <c r="M117" s="116">
        <v>-42.4</v>
      </c>
      <c r="N117" s="116">
        <v>-46.9</v>
      </c>
      <c r="O117" s="116">
        <v>-44.4</v>
      </c>
      <c r="P117" s="116">
        <v>-43.5</v>
      </c>
      <c r="Q117" s="116">
        <v>-49</v>
      </c>
      <c r="R117" s="116">
        <v>-50.5</v>
      </c>
      <c r="S117" s="116">
        <v>-58.3</v>
      </c>
      <c r="T117" s="116">
        <v>-58.3</v>
      </c>
      <c r="U117" s="116">
        <v>-58.3</v>
      </c>
      <c r="V117" s="116">
        <v>-54</v>
      </c>
      <c r="W117" s="116">
        <v>-51</v>
      </c>
      <c r="X117" s="116">
        <v>-41</v>
      </c>
      <c r="Y117" s="116">
        <v>-28</v>
      </c>
      <c r="Z117" s="116">
        <v>-4</v>
      </c>
      <c r="AA117" s="116">
        <v>0</v>
      </c>
      <c r="AB117" s="116">
        <v>-23.7</v>
      </c>
      <c r="AC117" s="116">
        <v>-26.5</v>
      </c>
      <c r="AD117" s="116">
        <v>-23.7</v>
      </c>
      <c r="AE117" s="116">
        <v>-23.7</v>
      </c>
      <c r="AF117" s="116">
        <v>-10.6</v>
      </c>
      <c r="AG117" s="118"/>
      <c r="AH117" s="47">
        <f t="shared" si="8"/>
        <v>0</v>
      </c>
      <c r="AI117" s="48">
        <f t="shared" si="9"/>
        <v>-58.3</v>
      </c>
    </row>
    <row r="118" spans="1:37" x14ac:dyDescent="0.25">
      <c r="A118" s="119" t="s">
        <v>126</v>
      </c>
      <c r="B118" s="105">
        <v>48</v>
      </c>
      <c r="C118" s="105">
        <v>48</v>
      </c>
      <c r="D118" s="105">
        <v>48</v>
      </c>
      <c r="E118" s="105">
        <v>53.5</v>
      </c>
      <c r="F118" s="105">
        <v>56.2</v>
      </c>
      <c r="G118" s="105">
        <v>58</v>
      </c>
      <c r="H118" s="105">
        <v>58</v>
      </c>
      <c r="I118" s="105">
        <v>61.6</v>
      </c>
      <c r="J118" s="105">
        <v>61.6</v>
      </c>
      <c r="K118" s="105">
        <v>50</v>
      </c>
      <c r="L118" s="105">
        <v>33</v>
      </c>
      <c r="M118" s="105">
        <v>50.4</v>
      </c>
      <c r="N118" s="105">
        <v>48.2</v>
      </c>
      <c r="O118" s="105">
        <v>30</v>
      </c>
      <c r="P118" s="105">
        <v>44</v>
      </c>
      <c r="Q118" s="105">
        <v>37.799999999999997</v>
      </c>
      <c r="R118" s="105">
        <v>48.1</v>
      </c>
      <c r="S118" s="105">
        <v>46.9</v>
      </c>
      <c r="T118" s="105">
        <v>46.9</v>
      </c>
      <c r="U118" s="105">
        <v>46.9</v>
      </c>
      <c r="V118" s="105">
        <v>45</v>
      </c>
      <c r="W118" s="105">
        <v>35</v>
      </c>
      <c r="X118" s="105">
        <v>40</v>
      </c>
      <c r="Y118" s="105">
        <v>30.5</v>
      </c>
      <c r="Z118" s="105">
        <v>25</v>
      </c>
      <c r="AA118" s="105">
        <v>27</v>
      </c>
      <c r="AB118" s="105">
        <v>31.1</v>
      </c>
      <c r="AC118" s="105">
        <v>32.4</v>
      </c>
      <c r="AD118" s="105">
        <v>34.799999999999997</v>
      </c>
      <c r="AE118" s="105">
        <v>40.299999999999997</v>
      </c>
      <c r="AF118" s="105">
        <v>41.4</v>
      </c>
      <c r="AG118" s="118"/>
      <c r="AH118" s="47">
        <f t="shared" si="8"/>
        <v>61.6</v>
      </c>
      <c r="AI118" s="48">
        <f t="shared" si="9"/>
        <v>25</v>
      </c>
    </row>
    <row r="119" spans="1:37" x14ac:dyDescent="0.25">
      <c r="A119" s="120" t="s">
        <v>127</v>
      </c>
      <c r="B119" s="105">
        <v>84</v>
      </c>
      <c r="C119" s="105">
        <v>84</v>
      </c>
      <c r="D119" s="105">
        <v>84</v>
      </c>
      <c r="E119" s="105">
        <v>81.5</v>
      </c>
      <c r="F119" s="105">
        <v>68.7</v>
      </c>
      <c r="G119" s="105">
        <v>65.400000000000006</v>
      </c>
      <c r="H119" s="105">
        <v>65.400000000000006</v>
      </c>
      <c r="I119" s="105">
        <v>51.5</v>
      </c>
      <c r="J119" s="105">
        <v>51.5</v>
      </c>
      <c r="K119" s="105">
        <v>60</v>
      </c>
      <c r="L119" s="105">
        <v>70</v>
      </c>
      <c r="M119" s="105">
        <v>81.400000000000006</v>
      </c>
      <c r="N119" s="105">
        <v>78.7</v>
      </c>
      <c r="O119" s="105">
        <v>78.2</v>
      </c>
      <c r="P119" s="105">
        <v>68.8</v>
      </c>
      <c r="Q119" s="105">
        <v>73.8</v>
      </c>
      <c r="R119" s="105">
        <v>50</v>
      </c>
      <c r="S119" s="105">
        <v>67.2</v>
      </c>
      <c r="T119" s="105">
        <v>67.2</v>
      </c>
      <c r="U119" s="105">
        <v>67.2</v>
      </c>
      <c r="V119" s="105">
        <v>83</v>
      </c>
      <c r="W119" s="105">
        <v>79</v>
      </c>
      <c r="X119" s="105">
        <v>87</v>
      </c>
      <c r="Y119" s="105">
        <v>56</v>
      </c>
      <c r="Z119" s="105">
        <v>42</v>
      </c>
      <c r="AA119" s="105">
        <v>52</v>
      </c>
      <c r="AB119" s="105">
        <v>72.099999999999994</v>
      </c>
      <c r="AC119" s="105">
        <v>70.7</v>
      </c>
      <c r="AD119" s="105">
        <v>81.8</v>
      </c>
      <c r="AE119" s="105">
        <v>85.6</v>
      </c>
      <c r="AF119" s="105">
        <v>81.5</v>
      </c>
      <c r="AG119" s="118"/>
      <c r="AH119" s="47">
        <f t="shared" si="8"/>
        <v>87</v>
      </c>
      <c r="AI119" s="48">
        <f t="shared" si="9"/>
        <v>42</v>
      </c>
    </row>
    <row r="120" spans="1:37" ht="15.75" thickBot="1" x14ac:dyDescent="0.3">
      <c r="A120" s="119" t="s">
        <v>128</v>
      </c>
      <c r="B120" s="105">
        <v>18</v>
      </c>
      <c r="C120" s="105">
        <v>18</v>
      </c>
      <c r="D120" s="105">
        <v>18</v>
      </c>
      <c r="E120" s="105">
        <v>7.9</v>
      </c>
      <c r="F120" s="105">
        <v>0.6</v>
      </c>
      <c r="G120" s="105">
        <v>-6.3</v>
      </c>
      <c r="H120" s="105">
        <v>-6.3</v>
      </c>
      <c r="I120" s="105">
        <v>-15.5</v>
      </c>
      <c r="J120" s="105">
        <v>-15.5</v>
      </c>
      <c r="K120" s="105">
        <v>-2</v>
      </c>
      <c r="L120" s="105">
        <v>4</v>
      </c>
      <c r="M120" s="105">
        <v>1.6</v>
      </c>
      <c r="N120" s="105">
        <v>-5.0999999999999996</v>
      </c>
      <c r="O120" s="105">
        <v>12.3</v>
      </c>
      <c r="P120" s="105">
        <v>-0.3</v>
      </c>
      <c r="Q120" s="105">
        <v>20.7</v>
      </c>
      <c r="R120" s="105">
        <v>-0.3</v>
      </c>
      <c r="S120" s="105">
        <v>0</v>
      </c>
      <c r="T120" s="105">
        <v>0</v>
      </c>
      <c r="U120" s="105">
        <v>0</v>
      </c>
      <c r="V120" s="105">
        <v>2</v>
      </c>
      <c r="W120" s="105">
        <v>12</v>
      </c>
      <c r="X120" s="105">
        <v>13</v>
      </c>
      <c r="Y120" s="105">
        <v>27</v>
      </c>
      <c r="Z120" s="105">
        <v>36</v>
      </c>
      <c r="AA120" s="105">
        <v>32</v>
      </c>
      <c r="AB120" s="105">
        <v>26.8</v>
      </c>
      <c r="AC120" s="105">
        <v>27.9</v>
      </c>
      <c r="AD120" s="105">
        <v>27.1</v>
      </c>
      <c r="AE120" s="105">
        <v>15.1</v>
      </c>
      <c r="AF120" s="105">
        <v>16.5</v>
      </c>
      <c r="AG120" s="118"/>
      <c r="AH120" s="47">
        <f t="shared" si="8"/>
        <v>36</v>
      </c>
      <c r="AI120" s="48">
        <f t="shared" si="9"/>
        <v>-15.5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6">SUM(B122:B226)</f>
        <v>0</v>
      </c>
      <c r="C227" s="136">
        <f t="shared" si="16"/>
        <v>0</v>
      </c>
      <c r="D227" s="136">
        <f t="shared" si="16"/>
        <v>0</v>
      </c>
      <c r="E227" s="136">
        <f t="shared" si="16"/>
        <v>0</v>
      </c>
      <c r="F227" s="136">
        <f>SUM(F122:F226)</f>
        <v>0</v>
      </c>
      <c r="G227" s="136">
        <f>SUM(G122:G226)</f>
        <v>0</v>
      </c>
      <c r="H227" s="136">
        <f t="shared" si="16"/>
        <v>0</v>
      </c>
      <c r="I227" s="136">
        <f t="shared" si="16"/>
        <v>0</v>
      </c>
      <c r="J227" s="136">
        <f t="shared" si="16"/>
        <v>0</v>
      </c>
      <c r="K227" s="136">
        <f t="shared" si="16"/>
        <v>0</v>
      </c>
      <c r="L227" s="136">
        <f t="shared" si="16"/>
        <v>0</v>
      </c>
      <c r="M227" s="136">
        <f t="shared" si="16"/>
        <v>0</v>
      </c>
      <c r="N227" s="136">
        <f t="shared" si="16"/>
        <v>0</v>
      </c>
      <c r="O227" s="136">
        <f t="shared" si="16"/>
        <v>0</v>
      </c>
      <c r="P227" s="136">
        <f t="shared" si="16"/>
        <v>0</v>
      </c>
      <c r="Q227" s="136">
        <f t="shared" si="16"/>
        <v>0</v>
      </c>
      <c r="R227" s="136">
        <f t="shared" si="16"/>
        <v>0</v>
      </c>
      <c r="S227" s="136">
        <f t="shared" si="16"/>
        <v>0</v>
      </c>
      <c r="T227" s="136">
        <f t="shared" si="16"/>
        <v>0</v>
      </c>
      <c r="U227" s="136">
        <f t="shared" si="16"/>
        <v>0</v>
      </c>
      <c r="V227" s="136">
        <f t="shared" si="16"/>
        <v>0</v>
      </c>
      <c r="W227" s="136">
        <f t="shared" si="16"/>
        <v>0</v>
      </c>
      <c r="X227" s="136">
        <f t="shared" si="16"/>
        <v>0</v>
      </c>
      <c r="Y227" s="136">
        <f t="shared" si="16"/>
        <v>0</v>
      </c>
      <c r="Z227" s="136">
        <f t="shared" si="16"/>
        <v>0</v>
      </c>
      <c r="AA227" s="136">
        <f t="shared" si="16"/>
        <v>0</v>
      </c>
      <c r="AB227" s="136">
        <f t="shared" si="16"/>
        <v>0</v>
      </c>
      <c r="AC227" s="136">
        <f t="shared" si="16"/>
        <v>0</v>
      </c>
      <c r="AD227" s="136">
        <f t="shared" si="16"/>
        <v>0</v>
      </c>
      <c r="AE227" s="136">
        <f t="shared" si="16"/>
        <v>0</v>
      </c>
      <c r="AF227" s="137">
        <f t="shared" si="16"/>
        <v>0</v>
      </c>
      <c r="AG227" s="138">
        <f t="shared" si="16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7">AF229</f>
        <v>0</v>
      </c>
      <c r="C229" s="140">
        <v>0.3</v>
      </c>
      <c r="D229" s="140">
        <f t="shared" ref="D229:P234" si="18">C229</f>
        <v>0.3</v>
      </c>
      <c r="E229" s="140">
        <f t="shared" si="18"/>
        <v>0.3</v>
      </c>
      <c r="F229" s="140">
        <f t="shared" si="18"/>
        <v>0.3</v>
      </c>
      <c r="G229" s="140">
        <f t="shared" si="18"/>
        <v>0.3</v>
      </c>
      <c r="H229" s="140">
        <f t="shared" si="18"/>
        <v>0.3</v>
      </c>
      <c r="I229" s="140">
        <f t="shared" si="18"/>
        <v>0.3</v>
      </c>
      <c r="J229" s="140">
        <f t="shared" si="18"/>
        <v>0.3</v>
      </c>
      <c r="K229" s="140">
        <f t="shared" si="18"/>
        <v>0.3</v>
      </c>
      <c r="L229" s="140">
        <f t="shared" si="18"/>
        <v>0.3</v>
      </c>
      <c r="M229" s="140">
        <f t="shared" si="18"/>
        <v>0.3</v>
      </c>
      <c r="N229" s="140">
        <f t="shared" si="18"/>
        <v>0.3</v>
      </c>
      <c r="O229" s="140">
        <f t="shared" si="18"/>
        <v>0.3</v>
      </c>
      <c r="P229" s="140">
        <f t="shared" si="18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7"/>
        <v>0</v>
      </c>
      <c r="C230" s="128">
        <v>0.4</v>
      </c>
      <c r="D230" s="128">
        <f t="shared" si="18"/>
        <v>0.4</v>
      </c>
      <c r="E230" s="128">
        <f t="shared" si="18"/>
        <v>0.4</v>
      </c>
      <c r="F230" s="128">
        <f t="shared" si="18"/>
        <v>0.4</v>
      </c>
      <c r="G230" s="128">
        <f t="shared" si="18"/>
        <v>0.4</v>
      </c>
      <c r="H230" s="128">
        <f t="shared" si="18"/>
        <v>0.4</v>
      </c>
      <c r="I230" s="128">
        <f t="shared" si="18"/>
        <v>0.4</v>
      </c>
      <c r="J230" s="128">
        <f t="shared" si="18"/>
        <v>0.4</v>
      </c>
      <c r="K230" s="128">
        <f t="shared" si="18"/>
        <v>0.4</v>
      </c>
      <c r="L230" s="128">
        <f t="shared" si="18"/>
        <v>0.4</v>
      </c>
      <c r="M230" s="128">
        <f t="shared" si="18"/>
        <v>0.4</v>
      </c>
      <c r="N230" s="128">
        <f t="shared" si="18"/>
        <v>0.4</v>
      </c>
      <c r="O230" s="128">
        <f t="shared" si="18"/>
        <v>0.4</v>
      </c>
      <c r="P230" s="128">
        <f t="shared" si="18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7"/>
        <v>0</v>
      </c>
      <c r="C231" s="128">
        <v>1.5</v>
      </c>
      <c r="D231" s="128">
        <f t="shared" si="18"/>
        <v>1.5</v>
      </c>
      <c r="E231" s="128">
        <f t="shared" si="18"/>
        <v>1.5</v>
      </c>
      <c r="F231" s="128">
        <f t="shared" si="18"/>
        <v>1.5</v>
      </c>
      <c r="G231" s="128">
        <f t="shared" si="18"/>
        <v>1.5</v>
      </c>
      <c r="H231" s="128">
        <f t="shared" si="18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8"/>
        <v>123.21900000000009</v>
      </c>
      <c r="K231" s="128">
        <f t="shared" ca="1" si="18"/>
        <v>123.21900000000009</v>
      </c>
      <c r="L231" s="128">
        <f t="shared" ca="1" si="18"/>
        <v>123.21900000000009</v>
      </c>
      <c r="M231" s="128">
        <f t="shared" ca="1" si="18"/>
        <v>119.19900000000008</v>
      </c>
      <c r="N231" s="128">
        <f t="shared" ca="1" si="18"/>
        <v>119.19900000000008</v>
      </c>
      <c r="O231" s="128">
        <f t="shared" ca="1" si="18"/>
        <v>119.19900000000008</v>
      </c>
      <c r="P231" s="128">
        <f t="shared" ca="1" si="18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7"/>
        <v>0</v>
      </c>
      <c r="C232" s="128">
        <v>0.3</v>
      </c>
      <c r="D232" s="128">
        <f t="shared" si="18"/>
        <v>0.3</v>
      </c>
      <c r="E232" s="128">
        <f t="shared" si="18"/>
        <v>0.3</v>
      </c>
      <c r="F232" s="128">
        <f t="shared" si="18"/>
        <v>0.3</v>
      </c>
      <c r="G232" s="128">
        <f t="shared" si="18"/>
        <v>0.3</v>
      </c>
      <c r="H232" s="128">
        <f t="shared" si="18"/>
        <v>0.3</v>
      </c>
      <c r="I232" s="128">
        <f t="shared" si="18"/>
        <v>0.3</v>
      </c>
      <c r="J232" s="128">
        <f t="shared" si="18"/>
        <v>0.3</v>
      </c>
      <c r="K232" s="128">
        <f t="shared" si="18"/>
        <v>0.3</v>
      </c>
      <c r="L232" s="128">
        <f t="shared" si="18"/>
        <v>0.3</v>
      </c>
      <c r="M232" s="128">
        <f t="shared" si="18"/>
        <v>0.3</v>
      </c>
      <c r="N232" s="128">
        <f t="shared" si="18"/>
        <v>0.3</v>
      </c>
      <c r="O232" s="128">
        <f t="shared" si="18"/>
        <v>0.3</v>
      </c>
      <c r="P232" s="128">
        <f t="shared" si="18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7"/>
        <v>0</v>
      </c>
      <c r="C233" s="128">
        <v>0.4</v>
      </c>
      <c r="D233" s="128">
        <f t="shared" si="18"/>
        <v>0.4</v>
      </c>
      <c r="E233" s="128">
        <f t="shared" si="18"/>
        <v>0.4</v>
      </c>
      <c r="F233" s="128">
        <f t="shared" si="18"/>
        <v>0.4</v>
      </c>
      <c r="G233" s="128">
        <f t="shared" si="18"/>
        <v>0.4</v>
      </c>
      <c r="H233" s="128">
        <f t="shared" si="18"/>
        <v>0.4</v>
      </c>
      <c r="I233" s="128">
        <f t="shared" si="18"/>
        <v>0.4</v>
      </c>
      <c r="J233" s="128">
        <f t="shared" si="18"/>
        <v>0.4</v>
      </c>
      <c r="K233" s="128">
        <f t="shared" si="18"/>
        <v>0.4</v>
      </c>
      <c r="L233" s="128">
        <f t="shared" si="18"/>
        <v>0.4</v>
      </c>
      <c r="M233" s="128">
        <f t="shared" si="18"/>
        <v>0.4</v>
      </c>
      <c r="N233" s="128">
        <f t="shared" si="18"/>
        <v>0.4</v>
      </c>
      <c r="O233" s="128">
        <f t="shared" si="18"/>
        <v>0.4</v>
      </c>
      <c r="P233" s="128">
        <f t="shared" si="18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7"/>
        <v>0</v>
      </c>
      <c r="C234" s="132">
        <v>0.64</v>
      </c>
      <c r="D234" s="132">
        <f t="shared" si="18"/>
        <v>0.64</v>
      </c>
      <c r="E234" s="132">
        <f t="shared" si="18"/>
        <v>0.64</v>
      </c>
      <c r="F234" s="132">
        <f t="shared" si="18"/>
        <v>0.64</v>
      </c>
      <c r="G234" s="132">
        <f t="shared" si="18"/>
        <v>0.64</v>
      </c>
      <c r="H234" s="132">
        <f t="shared" si="18"/>
        <v>0.64</v>
      </c>
      <c r="I234" s="132">
        <f t="shared" si="18"/>
        <v>0.64</v>
      </c>
      <c r="J234" s="132">
        <f t="shared" si="18"/>
        <v>0.64</v>
      </c>
      <c r="K234" s="132">
        <f t="shared" si="18"/>
        <v>0.64</v>
      </c>
      <c r="L234" s="132">
        <f t="shared" si="18"/>
        <v>0.64</v>
      </c>
      <c r="M234" s="132">
        <f t="shared" si="18"/>
        <v>0.64</v>
      </c>
      <c r="N234" s="132">
        <f t="shared" si="18"/>
        <v>0.64</v>
      </c>
      <c r="O234" s="132">
        <f t="shared" si="18"/>
        <v>0.64</v>
      </c>
      <c r="P234" s="132">
        <f t="shared" si="18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19">SUM(B229:B234)</f>
        <v>0</v>
      </c>
      <c r="C235" s="136">
        <f t="shared" si="19"/>
        <v>3.54</v>
      </c>
      <c r="D235" s="136">
        <f t="shared" si="19"/>
        <v>3.54</v>
      </c>
      <c r="E235" s="136">
        <f t="shared" si="19"/>
        <v>3.54</v>
      </c>
      <c r="F235" s="136">
        <f t="shared" si="19"/>
        <v>3.54</v>
      </c>
      <c r="G235" s="136">
        <f>SUM(G229:G234)</f>
        <v>3.54</v>
      </c>
      <c r="H235" s="136">
        <f t="shared" si="19"/>
        <v>3.54</v>
      </c>
      <c r="I235" s="136">
        <f t="shared" ca="1" si="19"/>
        <v>121.23900000000009</v>
      </c>
      <c r="J235" s="136">
        <f t="shared" ca="1" si="19"/>
        <v>121.23900000000009</v>
      </c>
      <c r="K235" s="136">
        <f t="shared" ca="1" si="19"/>
        <v>121.23900000000009</v>
      </c>
      <c r="L235" s="136">
        <f t="shared" ca="1" si="19"/>
        <v>125.2590000000001</v>
      </c>
      <c r="M235" s="136">
        <f t="shared" ca="1" si="19"/>
        <v>121.23900000000009</v>
      </c>
      <c r="N235" s="136">
        <f t="shared" ca="1" si="19"/>
        <v>121.23900000000009</v>
      </c>
      <c r="O235" s="136">
        <f t="shared" ca="1" si="19"/>
        <v>121.23900000000009</v>
      </c>
      <c r="P235" s="136">
        <f t="shared" ca="1" si="19"/>
        <v>121.23900000000009</v>
      </c>
      <c r="Q235" s="136">
        <f t="shared" si="19"/>
        <v>0</v>
      </c>
      <c r="R235" s="136">
        <f t="shared" si="19"/>
        <v>0</v>
      </c>
      <c r="S235" s="136">
        <f t="shared" si="19"/>
        <v>0</v>
      </c>
      <c r="T235" s="136">
        <f t="shared" si="19"/>
        <v>0</v>
      </c>
      <c r="U235" s="136">
        <f t="shared" si="19"/>
        <v>0</v>
      </c>
      <c r="V235" s="136">
        <f t="shared" si="19"/>
        <v>0</v>
      </c>
      <c r="W235" s="136">
        <f t="shared" si="19"/>
        <v>0</v>
      </c>
      <c r="X235" s="136">
        <f t="shared" si="19"/>
        <v>0</v>
      </c>
      <c r="Y235" s="136">
        <f t="shared" si="19"/>
        <v>0</v>
      </c>
      <c r="Z235" s="136">
        <f t="shared" si="19"/>
        <v>0</v>
      </c>
      <c r="AA235" s="136">
        <f t="shared" si="19"/>
        <v>0</v>
      </c>
      <c r="AB235" s="136">
        <f t="shared" si="19"/>
        <v>0</v>
      </c>
      <c r="AC235" s="136">
        <f t="shared" si="19"/>
        <v>0</v>
      </c>
      <c r="AD235" s="136">
        <f t="shared" si="19"/>
        <v>0</v>
      </c>
      <c r="AE235" s="136">
        <f t="shared" si="19"/>
        <v>0</v>
      </c>
      <c r="AF235" s="136">
        <f t="shared" si="19"/>
        <v>0</v>
      </c>
      <c r="AG235" s="145">
        <f t="shared" si="19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1926.7400000000002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2080/05/6)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0">B91</f>
        <v>1873.74</v>
      </c>
      <c r="U249" s="170">
        <f t="shared" si="20"/>
        <v>1873.74</v>
      </c>
      <c r="V249" s="170">
        <f t="shared" si="20"/>
        <v>1873.74</v>
      </c>
      <c r="W249" s="170">
        <f t="shared" si="20"/>
        <v>1873.74</v>
      </c>
      <c r="X249" s="170">
        <f t="shared" si="20"/>
        <v>1873.74</v>
      </c>
      <c r="Y249" s="170">
        <f t="shared" si="20"/>
        <v>1873.74</v>
      </c>
      <c r="Z249" s="170">
        <f t="shared" si="20"/>
        <v>1873.74</v>
      </c>
      <c r="AA249" s="170">
        <f t="shared" si="20"/>
        <v>1873.74</v>
      </c>
      <c r="AB249" s="170">
        <f t="shared" si="20"/>
        <v>1873.74</v>
      </c>
      <c r="AC249" s="170">
        <f t="shared" si="20"/>
        <v>1841.1399999999999</v>
      </c>
      <c r="AD249" s="170">
        <f t="shared" si="20"/>
        <v>1922.2400000000002</v>
      </c>
      <c r="AE249" s="170">
        <f t="shared" si="20"/>
        <v>1926.7400000000002</v>
      </c>
      <c r="AF249" s="170">
        <f t="shared" si="20"/>
        <v>1909.2399999999998</v>
      </c>
      <c r="AG249" s="170">
        <f t="shared" si="20"/>
        <v>1915.4399999999998</v>
      </c>
      <c r="AH249" s="170">
        <f t="shared" si="20"/>
        <v>1876.94</v>
      </c>
      <c r="AI249" s="170">
        <f t="shared" si="20"/>
        <v>1857.8400000000001</v>
      </c>
      <c r="AJ249" s="170">
        <f t="shared" si="20"/>
        <v>1861.24</v>
      </c>
      <c r="AK249" s="170">
        <f t="shared" si="20"/>
        <v>1837.64</v>
      </c>
      <c r="AL249" s="170">
        <f t="shared" si="20"/>
        <v>1836.5400000000002</v>
      </c>
      <c r="AM249" s="170">
        <f t="shared" si="20"/>
        <v>1865.14</v>
      </c>
      <c r="AN249" s="170">
        <f t="shared" si="20"/>
        <v>1865.2400000000002</v>
      </c>
      <c r="AO249" s="170">
        <f t="shared" si="20"/>
        <v>1836.14</v>
      </c>
      <c r="AP249" s="170">
        <f t="shared" si="20"/>
        <v>1843.64</v>
      </c>
      <c r="AQ249" s="170">
        <f t="shared" si="20"/>
        <v>1916.74</v>
      </c>
      <c r="AR249" s="170">
        <f t="shared" si="20"/>
        <v>1926.3400000000001</v>
      </c>
      <c r="AS249" s="170">
        <f t="shared" si="20"/>
        <v>1963.0400000000002</v>
      </c>
      <c r="AT249" s="170">
        <f t="shared" si="20"/>
        <v>1975.3400000000001</v>
      </c>
      <c r="AU249" s="170">
        <f t="shared" si="20"/>
        <v>1949.14</v>
      </c>
      <c r="AV249" s="170">
        <f t="shared" si="20"/>
        <v>1948.4400000000003</v>
      </c>
      <c r="AW249" s="170">
        <f t="shared" si="20"/>
        <v>1941.54</v>
      </c>
      <c r="AX249" s="170">
        <f t="shared" si="20"/>
        <v>1884.14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1">C234</f>
        <v>0.64</v>
      </c>
      <c r="C270" s="173">
        <f t="shared" si="21"/>
        <v>0.64</v>
      </c>
      <c r="D270" s="173">
        <f t="shared" si="21"/>
        <v>0.64</v>
      </c>
      <c r="E270" s="173">
        <f t="shared" si="21"/>
        <v>0.64</v>
      </c>
      <c r="F270" s="173">
        <f t="shared" si="21"/>
        <v>0.64</v>
      </c>
      <c r="G270" s="173">
        <f t="shared" si="21"/>
        <v>0.64</v>
      </c>
      <c r="H270" s="173">
        <f t="shared" si="21"/>
        <v>0.64</v>
      </c>
      <c r="I270" s="173">
        <f t="shared" si="21"/>
        <v>0.64</v>
      </c>
      <c r="J270" s="173">
        <f t="shared" si="21"/>
        <v>0.64</v>
      </c>
      <c r="K270" s="173">
        <f t="shared" si="21"/>
        <v>0.64</v>
      </c>
      <c r="L270" s="173">
        <f t="shared" si="21"/>
        <v>0.64</v>
      </c>
      <c r="M270" s="173">
        <f t="shared" si="21"/>
        <v>0.64</v>
      </c>
      <c r="N270" s="173">
        <f t="shared" si="21"/>
        <v>0.64</v>
      </c>
      <c r="O270" s="173">
        <f t="shared" si="21"/>
        <v>0.64</v>
      </c>
      <c r="P270" s="173">
        <f t="shared" si="21"/>
        <v>0</v>
      </c>
      <c r="Q270" s="173">
        <f t="shared" si="21"/>
        <v>0</v>
      </c>
      <c r="R270" s="173">
        <f t="shared" si="21"/>
        <v>0</v>
      </c>
      <c r="S270" s="173">
        <f t="shared" si="21"/>
        <v>0</v>
      </c>
      <c r="T270" s="173">
        <f t="shared" si="21"/>
        <v>0</v>
      </c>
      <c r="U270" s="173">
        <f t="shared" si="21"/>
        <v>0</v>
      </c>
      <c r="V270" s="173">
        <f t="shared" si="21"/>
        <v>0</v>
      </c>
      <c r="W270" s="173">
        <f t="shared" si="21"/>
        <v>0</v>
      </c>
      <c r="X270" s="173">
        <f t="shared" si="21"/>
        <v>0</v>
      </c>
      <c r="Y270" s="173">
        <f t="shared" si="21"/>
        <v>0</v>
      </c>
      <c r="Z270" s="173">
        <f t="shared" si="21"/>
        <v>0</v>
      </c>
      <c r="AA270" s="173">
        <f t="shared" si="21"/>
        <v>0</v>
      </c>
      <c r="AB270" s="173">
        <f t="shared" si="21"/>
        <v>0</v>
      </c>
      <c r="AC270" s="173">
        <f t="shared" si="21"/>
        <v>0</v>
      </c>
      <c r="AD270" s="173">
        <f t="shared" si="21"/>
        <v>0</v>
      </c>
      <c r="AE270" s="173">
        <f t="shared" si="21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2">IF(B238&lt;100,"",B238-520)</f>
        <v/>
      </c>
      <c r="C271" s="174" t="str">
        <f t="shared" si="22"/>
        <v/>
      </c>
      <c r="D271" s="174" t="str">
        <f t="shared" si="22"/>
        <v/>
      </c>
      <c r="E271" s="174" t="str">
        <f t="shared" si="22"/>
        <v/>
      </c>
      <c r="F271" s="174" t="str">
        <f t="shared" si="22"/>
        <v/>
      </c>
      <c r="G271" s="174" t="str">
        <f>IF(G238&lt;100,"",G238-520)</f>
        <v/>
      </c>
      <c r="H271" s="174" t="str">
        <f t="shared" si="22"/>
        <v/>
      </c>
      <c r="I271" s="174" t="str">
        <f t="shared" si="22"/>
        <v/>
      </c>
      <c r="J271" s="174" t="str">
        <f t="shared" si="22"/>
        <v/>
      </c>
      <c r="K271" s="174" t="str">
        <f t="shared" si="22"/>
        <v/>
      </c>
      <c r="L271" s="174" t="str">
        <f t="shared" si="22"/>
        <v/>
      </c>
      <c r="M271" s="174" t="str">
        <f t="shared" si="22"/>
        <v/>
      </c>
      <c r="N271" s="174" t="str">
        <f t="shared" si="22"/>
        <v/>
      </c>
      <c r="O271" s="174" t="str">
        <f t="shared" si="22"/>
        <v/>
      </c>
      <c r="P271" s="174" t="str">
        <f t="shared" si="22"/>
        <v/>
      </c>
      <c r="Q271" s="174" t="str">
        <f t="shared" si="22"/>
        <v/>
      </c>
      <c r="R271" s="174" t="str">
        <f t="shared" si="22"/>
        <v/>
      </c>
      <c r="S271" s="174" t="str">
        <f t="shared" si="22"/>
        <v/>
      </c>
      <c r="T271" s="174" t="str">
        <f t="shared" si="22"/>
        <v/>
      </c>
      <c r="U271" s="174" t="str">
        <f t="shared" si="22"/>
        <v/>
      </c>
      <c r="V271" s="174" t="str">
        <f t="shared" si="22"/>
        <v/>
      </c>
      <c r="W271" s="174" t="str">
        <f t="shared" si="22"/>
        <v/>
      </c>
      <c r="X271" s="174" t="str">
        <f t="shared" si="22"/>
        <v/>
      </c>
      <c r="Y271" s="174" t="str">
        <f t="shared" si="22"/>
        <v/>
      </c>
      <c r="Z271" s="174" t="str">
        <f t="shared" si="22"/>
        <v/>
      </c>
      <c r="AA271" s="174" t="str">
        <f t="shared" si="22"/>
        <v/>
      </c>
      <c r="AB271" s="174" t="str">
        <f t="shared" si="22"/>
        <v/>
      </c>
      <c r="AC271" s="174" t="str">
        <f t="shared" si="22"/>
        <v/>
      </c>
      <c r="AD271" s="174" t="str">
        <f t="shared" si="22"/>
        <v/>
      </c>
      <c r="AE271" s="174" t="str">
        <f t="shared" si="22"/>
        <v/>
      </c>
      <c r="AF271" s="174" t="str">
        <f t="shared" si="22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3">IF(B239&lt;100,"",B239-620)</f>
        <v/>
      </c>
      <c r="C272" s="174" t="str">
        <f t="shared" si="23"/>
        <v/>
      </c>
      <c r="D272" s="174" t="str">
        <f t="shared" si="23"/>
        <v/>
      </c>
      <c r="E272" s="174" t="str">
        <f t="shared" si="23"/>
        <v/>
      </c>
      <c r="F272" s="174" t="str">
        <f t="shared" si="23"/>
        <v/>
      </c>
      <c r="G272" s="174" t="str">
        <f>IF(G239&lt;100,"",G239-620)</f>
        <v/>
      </c>
      <c r="H272" s="174" t="str">
        <f t="shared" si="23"/>
        <v/>
      </c>
      <c r="I272" s="174" t="str">
        <f t="shared" si="23"/>
        <v/>
      </c>
      <c r="J272" s="174" t="str">
        <f t="shared" si="23"/>
        <v/>
      </c>
      <c r="K272" s="174" t="str">
        <f t="shared" si="23"/>
        <v/>
      </c>
      <c r="L272" s="174" t="str">
        <f t="shared" si="23"/>
        <v/>
      </c>
      <c r="M272" s="174" t="str">
        <f t="shared" si="23"/>
        <v/>
      </c>
      <c r="N272" s="174" t="str">
        <f t="shared" si="23"/>
        <v/>
      </c>
      <c r="O272" s="174" t="str">
        <f t="shared" si="23"/>
        <v/>
      </c>
      <c r="P272" s="174" t="str">
        <f t="shared" si="23"/>
        <v/>
      </c>
      <c r="Q272" s="174" t="str">
        <f t="shared" si="23"/>
        <v/>
      </c>
      <c r="R272" s="174" t="str">
        <f t="shared" si="23"/>
        <v/>
      </c>
      <c r="S272" s="174" t="str">
        <f t="shared" si="23"/>
        <v/>
      </c>
      <c r="T272" s="174" t="str">
        <f t="shared" si="23"/>
        <v/>
      </c>
      <c r="U272" s="174" t="str">
        <f t="shared" si="23"/>
        <v/>
      </c>
      <c r="V272" s="174" t="str">
        <f t="shared" si="23"/>
        <v/>
      </c>
      <c r="W272" s="174" t="str">
        <f t="shared" si="23"/>
        <v/>
      </c>
      <c r="X272" s="174" t="str">
        <f t="shared" si="23"/>
        <v/>
      </c>
      <c r="Y272" s="174" t="str">
        <f t="shared" si="23"/>
        <v/>
      </c>
      <c r="Z272" s="174" t="str">
        <f t="shared" si="23"/>
        <v/>
      </c>
      <c r="AA272" s="174" t="str">
        <f t="shared" si="23"/>
        <v/>
      </c>
      <c r="AB272" s="174" t="str">
        <f t="shared" si="23"/>
        <v/>
      </c>
      <c r="AC272" s="174" t="str">
        <f t="shared" si="23"/>
        <v/>
      </c>
      <c r="AD272" s="174" t="str">
        <f t="shared" si="23"/>
        <v/>
      </c>
      <c r="AE272" s="174" t="str">
        <f t="shared" si="23"/>
        <v/>
      </c>
      <c r="AF272" s="174" t="str">
        <f t="shared" si="23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4">IF(B240&lt;100,"",B240-330)</f>
        <v/>
      </c>
      <c r="C273" s="174" t="str">
        <f t="shared" si="24"/>
        <v/>
      </c>
      <c r="D273" s="174" t="str">
        <f t="shared" si="24"/>
        <v/>
      </c>
      <c r="E273" s="174" t="str">
        <f t="shared" si="24"/>
        <v/>
      </c>
      <c r="F273" s="174" t="str">
        <f t="shared" si="24"/>
        <v/>
      </c>
      <c r="G273" s="174" t="str">
        <f>IF(G240&lt;100,"",G240-330)</f>
        <v/>
      </c>
      <c r="H273" s="174" t="str">
        <f t="shared" si="24"/>
        <v/>
      </c>
      <c r="I273" s="174" t="str">
        <f t="shared" si="24"/>
        <v/>
      </c>
      <c r="J273" s="174" t="str">
        <f t="shared" si="24"/>
        <v/>
      </c>
      <c r="K273" s="174" t="str">
        <f t="shared" si="24"/>
        <v/>
      </c>
      <c r="L273" s="174" t="str">
        <f t="shared" si="24"/>
        <v/>
      </c>
      <c r="M273" s="174" t="str">
        <f t="shared" si="24"/>
        <v/>
      </c>
      <c r="N273" s="174" t="str">
        <f t="shared" si="24"/>
        <v/>
      </c>
      <c r="O273" s="174" t="str">
        <f t="shared" si="24"/>
        <v/>
      </c>
      <c r="P273" s="174" t="str">
        <f t="shared" si="24"/>
        <v/>
      </c>
      <c r="Q273" s="174" t="str">
        <f t="shared" si="24"/>
        <v/>
      </c>
      <c r="R273" s="174" t="str">
        <f t="shared" si="24"/>
        <v/>
      </c>
      <c r="S273" s="174" t="str">
        <f t="shared" si="24"/>
        <v/>
      </c>
      <c r="T273" s="174" t="str">
        <f t="shared" si="24"/>
        <v/>
      </c>
      <c r="U273" s="174" t="str">
        <f t="shared" si="24"/>
        <v/>
      </c>
      <c r="V273" s="174" t="str">
        <f t="shared" si="24"/>
        <v/>
      </c>
      <c r="W273" s="174" t="str">
        <f t="shared" si="24"/>
        <v/>
      </c>
      <c r="X273" s="174" t="str">
        <f t="shared" si="24"/>
        <v/>
      </c>
      <c r="Y273" s="174" t="str">
        <f t="shared" si="24"/>
        <v/>
      </c>
      <c r="Z273" s="174" t="str">
        <f t="shared" si="24"/>
        <v/>
      </c>
      <c r="AA273" s="174" t="str">
        <f t="shared" si="24"/>
        <v/>
      </c>
      <c r="AB273" s="174" t="str">
        <f t="shared" si="24"/>
        <v/>
      </c>
      <c r="AC273" s="174" t="str">
        <f t="shared" si="24"/>
        <v/>
      </c>
      <c r="AD273" s="174" t="str">
        <f t="shared" si="24"/>
        <v/>
      </c>
      <c r="AE273" s="174" t="str">
        <f t="shared" si="24"/>
        <v/>
      </c>
      <c r="AF273" s="174" t="str">
        <f t="shared" si="24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5">IF(B241&lt;100,"",B241-1500)</f>
        <v/>
      </c>
      <c r="C274" s="174" t="str">
        <f t="shared" si="25"/>
        <v/>
      </c>
      <c r="D274" s="174" t="str">
        <f t="shared" si="25"/>
        <v/>
      </c>
      <c r="E274" s="174" t="str">
        <f t="shared" si="25"/>
        <v/>
      </c>
      <c r="F274" s="174" t="str">
        <f t="shared" si="25"/>
        <v/>
      </c>
      <c r="G274" s="174" t="str">
        <f>IF(G241&lt;100,"",G241-1500)</f>
        <v/>
      </c>
      <c r="H274" s="174" t="str">
        <f t="shared" si="25"/>
        <v/>
      </c>
      <c r="I274" s="174" t="str">
        <f t="shared" si="25"/>
        <v/>
      </c>
      <c r="J274" s="174" t="str">
        <f t="shared" si="25"/>
        <v/>
      </c>
      <c r="K274" s="174" t="str">
        <f t="shared" si="25"/>
        <v/>
      </c>
      <c r="L274" s="174" t="str">
        <f t="shared" si="25"/>
        <v/>
      </c>
      <c r="M274" s="174" t="str">
        <f t="shared" si="25"/>
        <v/>
      </c>
      <c r="N274" s="174" t="str">
        <f t="shared" si="25"/>
        <v/>
      </c>
      <c r="O274" s="174" t="str">
        <f t="shared" si="25"/>
        <v/>
      </c>
      <c r="P274" s="174" t="str">
        <f t="shared" si="25"/>
        <v/>
      </c>
      <c r="Q274" s="174" t="str">
        <f t="shared" si="25"/>
        <v/>
      </c>
      <c r="R274" s="174" t="str">
        <f t="shared" si="25"/>
        <v/>
      </c>
      <c r="S274" s="174" t="str">
        <f t="shared" si="25"/>
        <v/>
      </c>
      <c r="T274" s="174" t="str">
        <f t="shared" si="25"/>
        <v/>
      </c>
      <c r="U274" s="174" t="str">
        <f t="shared" si="25"/>
        <v/>
      </c>
      <c r="V274" s="174" t="str">
        <f t="shared" si="25"/>
        <v/>
      </c>
      <c r="W274" s="174" t="str">
        <f t="shared" si="25"/>
        <v/>
      </c>
      <c r="X274" s="174" t="str">
        <f t="shared" si="25"/>
        <v/>
      </c>
      <c r="Y274" s="174" t="str">
        <f t="shared" si="25"/>
        <v/>
      </c>
      <c r="Z274" s="174" t="str">
        <f t="shared" si="25"/>
        <v/>
      </c>
      <c r="AA274" s="174" t="str">
        <f t="shared" si="25"/>
        <v/>
      </c>
      <c r="AB274" s="174" t="str">
        <f t="shared" si="25"/>
        <v/>
      </c>
      <c r="AC274" s="174" t="str">
        <f t="shared" si="25"/>
        <v/>
      </c>
      <c r="AD274" s="174" t="str">
        <f t="shared" si="25"/>
        <v/>
      </c>
      <c r="AE274" s="174" t="str">
        <f t="shared" si="25"/>
        <v/>
      </c>
      <c r="AF274" s="174" t="str">
        <f t="shared" si="25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3311" priority="64">
      <formula>$AH11=0</formula>
    </cfRule>
  </conditionalFormatting>
  <conditionalFormatting sqref="B8 M8 S8 AB8">
    <cfRule type="expression" dxfId="3310" priority="116">
      <formula>AND(C$9&gt;=8/24,C$9&lt;14/24)</formula>
    </cfRule>
    <cfRule type="expression" dxfId="3309" priority="115">
      <formula>AND(C$9&gt;=14/24,C$9&lt;20/24)</formula>
    </cfRule>
    <cfRule type="expression" dxfId="3308" priority="117">
      <formula>C$9&lt;8/24</formula>
    </cfRule>
  </conditionalFormatting>
  <conditionalFormatting sqref="B54:K59">
    <cfRule type="expression" dxfId="3307" priority="38">
      <formula>B$9&gt;=20/24</formula>
    </cfRule>
    <cfRule type="expression" dxfId="3306" priority="39">
      <formula>AND(B$9&gt;=14/24,B$9&lt;20/24)</formula>
    </cfRule>
    <cfRule type="expression" dxfId="3305" priority="40">
      <formula>AND(B$9&gt;=8/24,B$9&lt;14/24)</formula>
    </cfRule>
    <cfRule type="expression" dxfId="3304" priority="41">
      <formula>B$9&lt;8/24</formula>
    </cfRule>
  </conditionalFormatting>
  <conditionalFormatting sqref="B54:K66 M61:Z66">
    <cfRule type="expression" dxfId="3303" priority="33">
      <formula>B54&gt;$AG54</formula>
    </cfRule>
  </conditionalFormatting>
  <conditionalFormatting sqref="B60:Z60">
    <cfRule type="expression" dxfId="3302" priority="54">
      <formula>B$9&lt;8/24</formula>
    </cfRule>
    <cfRule type="expression" dxfId="3301" priority="51">
      <formula>B$9&gt;=20/24</formula>
    </cfRule>
    <cfRule type="expression" dxfId="3300" priority="53">
      <formula>AND(B$9&gt;=8/24,B$9&lt;14/24)</formula>
    </cfRule>
    <cfRule type="expression" dxfId="3299" priority="52">
      <formula>AND(B$9&gt;=14/24,B$9&lt;20/24)</formula>
    </cfRule>
  </conditionalFormatting>
  <conditionalFormatting sqref="B9:AF45">
    <cfRule type="expression" dxfId="3298" priority="23">
      <formula>B$9&gt;=20/24</formula>
    </cfRule>
    <cfRule type="expression" dxfId="3297" priority="24">
      <formula>AND(B$9&gt;=14/24,B$9&lt;20/24)</formula>
    </cfRule>
    <cfRule type="expression" dxfId="3296" priority="25">
      <formula>AND(B$9&gt;=8/24,B$9&lt;14/24)</formula>
    </cfRule>
    <cfRule type="expression" dxfId="3295" priority="26">
      <formula>B$9&lt;8/24</formula>
    </cfRule>
  </conditionalFormatting>
  <conditionalFormatting sqref="B11:AF46">
    <cfRule type="expression" dxfId="3294" priority="22">
      <formula>B11&gt;$AG11</formula>
    </cfRule>
  </conditionalFormatting>
  <conditionalFormatting sqref="B46:AF46">
    <cfRule type="expression" dxfId="3293" priority="20">
      <formula>AND(B$9&gt;=8/24,B$9&lt;14/24)</formula>
    </cfRule>
    <cfRule type="expression" dxfId="3292" priority="18">
      <formula>B$9&gt;=20/24</formula>
    </cfRule>
    <cfRule type="expression" dxfId="3291" priority="19">
      <formula>AND(B$9&gt;=14/24,B$9&lt;20/24)</formula>
    </cfRule>
    <cfRule type="expression" dxfId="3290" priority="21">
      <formula>B$9&lt;8/24</formula>
    </cfRule>
  </conditionalFormatting>
  <conditionalFormatting sqref="B47:AF47">
    <cfRule type="expression" dxfId="3289" priority="32">
      <formula>B47&gt;$AG47</formula>
    </cfRule>
  </conditionalFormatting>
  <conditionalFormatting sqref="B47:AF49">
    <cfRule type="expression" dxfId="3288" priority="28">
      <formula>B$9&gt;=20/24</formula>
    </cfRule>
    <cfRule type="expression" dxfId="3287" priority="29">
      <formula>AND(B$9&gt;=14/24,B$9&lt;20/24)</formula>
    </cfRule>
    <cfRule type="expression" dxfId="3286" priority="30">
      <formula>AND(B$9&gt;=8/24,B$9&lt;14/24)</formula>
    </cfRule>
    <cfRule type="expression" dxfId="3285" priority="31">
      <formula>B$9&lt;8/24</formula>
    </cfRule>
  </conditionalFormatting>
  <conditionalFormatting sqref="B48:AF53">
    <cfRule type="expression" dxfId="3284" priority="27">
      <formula>B48&gt;$AG48</formula>
    </cfRule>
  </conditionalFormatting>
  <conditionalFormatting sqref="B51:AF53">
    <cfRule type="expression" dxfId="3283" priority="48">
      <formula>AND(B$9&gt;=14/24,B$9&lt;20/24)</formula>
    </cfRule>
    <cfRule type="expression" dxfId="3282" priority="49">
      <formula>AND(B$9&gt;=8/24,B$9&lt;14/24)</formula>
    </cfRule>
    <cfRule type="expression" dxfId="3281" priority="50">
      <formula>B$9&lt;8/24</formula>
    </cfRule>
    <cfRule type="expression" dxfId="3280" priority="47">
      <formula>B$9&gt;=20/24</formula>
    </cfRule>
  </conditionalFormatting>
  <conditionalFormatting sqref="B61:AF66">
    <cfRule type="expression" dxfId="3279" priority="37">
      <formula>B$9&lt;8/24</formula>
    </cfRule>
    <cfRule type="expression" dxfId="3278" priority="35">
      <formula>AND(B$9&gt;=14/24,B$9&lt;20/24)</formula>
    </cfRule>
    <cfRule type="expression" dxfId="3277" priority="34">
      <formula>B$9&gt;=20/24</formula>
    </cfRule>
    <cfRule type="expression" dxfId="3276" priority="36">
      <formula>AND(B$9&gt;=8/24,B$9&lt;14/24)</formula>
    </cfRule>
  </conditionalFormatting>
  <conditionalFormatting sqref="B69:AF71">
    <cfRule type="expression" dxfId="3275" priority="55">
      <formula>B69&gt;$AG69</formula>
    </cfRule>
    <cfRule type="expression" dxfId="3274" priority="56">
      <formula>B$9&gt;=20/24</formula>
    </cfRule>
    <cfRule type="expression" dxfId="3273" priority="57">
      <formula>AND(B$9&gt;=14/24,B$9&lt;20/24)</formula>
    </cfRule>
    <cfRule type="expression" dxfId="3272" priority="58">
      <formula>AND(B$9&gt;=8/24,B$9&lt;14/24)</formula>
    </cfRule>
    <cfRule type="expression" dxfId="3271" priority="59">
      <formula>B$9&lt;8/24</formula>
    </cfRule>
  </conditionalFormatting>
  <conditionalFormatting sqref="B73:AF91">
    <cfRule type="expression" dxfId="3270" priority="3">
      <formula>AND(B$9&gt;=8/24,B$9&lt;14/24)</formula>
    </cfRule>
    <cfRule type="expression" dxfId="3269" priority="4">
      <formula>B$9&lt;8/24</formula>
    </cfRule>
    <cfRule type="expression" dxfId="3268" priority="2">
      <formula>AND(B$9&gt;=14/24,B$9&lt;20/24)</formula>
    </cfRule>
    <cfRule type="expression" dxfId="3267" priority="1">
      <formula>B$9&gt;=20/24</formula>
    </cfRule>
  </conditionalFormatting>
  <conditionalFormatting sqref="B111:AF120">
    <cfRule type="expression" dxfId="3266" priority="15">
      <formula>AND(B$9&gt;=14/24,B$9&lt;20/24)</formula>
    </cfRule>
    <cfRule type="expression" dxfId="3265" priority="17">
      <formula>B$9&lt;8/24</formula>
    </cfRule>
    <cfRule type="expression" dxfId="3264" priority="16">
      <formula>AND(B$9&gt;=8/24,B$9&lt;14/24)</formula>
    </cfRule>
    <cfRule type="expression" dxfId="3263" priority="14">
      <formula>B$9&gt;=20/24</formula>
    </cfRule>
  </conditionalFormatting>
  <conditionalFormatting sqref="B227:AF227 H229:AF230 B229:B235 D229:G235 H231 J231:AF231 H232:AF235 U248:AF248">
    <cfRule type="expression" dxfId="3262" priority="108">
      <formula>B$9&gt;=20/24</formula>
    </cfRule>
    <cfRule type="expression" dxfId="3261" priority="110">
      <formula>AND(B$9&gt;=8/24,B$9&lt;14/24)</formula>
    </cfRule>
    <cfRule type="expression" dxfId="3260" priority="109">
      <formula>AND(B$9&gt;=14/24,B$9&lt;20/24)</formula>
    </cfRule>
    <cfRule type="expression" dxfId="3259" priority="111">
      <formula>B$9&lt;8/24</formula>
    </cfRule>
  </conditionalFormatting>
  <conditionalFormatting sqref="B67:AG68 B72:AG72">
    <cfRule type="expression" dxfId="3258" priority="42">
      <formula>B67&gt;$AG67</formula>
    </cfRule>
  </conditionalFormatting>
  <conditionalFormatting sqref="B72:AG72 B93:AF109">
    <cfRule type="expression" dxfId="3257" priority="43">
      <formula>B$9&gt;=20/24</formula>
    </cfRule>
    <cfRule type="expression" dxfId="3256" priority="46">
      <formula>B$9&lt;8/24</formula>
    </cfRule>
    <cfRule type="expression" dxfId="3255" priority="45">
      <formula>AND(B$9&gt;=8/24,B$9&lt;14/24)</formula>
    </cfRule>
    <cfRule type="expression" dxfId="3254" priority="44">
      <formula>AND(B$9&gt;=14/24,B$9&lt;20/24)</formula>
    </cfRule>
  </conditionalFormatting>
  <conditionalFormatting sqref="L55:L57">
    <cfRule type="expression" dxfId="3253" priority="91">
      <formula>AND(L$9&gt;=8/24,L$9&lt;14/24)</formula>
    </cfRule>
    <cfRule type="expression" dxfId="3252" priority="89">
      <formula>L$9&gt;=20/24</formula>
    </cfRule>
    <cfRule type="expression" dxfId="3251" priority="90">
      <formula>AND(L$9&gt;=14/24,L$9&lt;20/24)</formula>
    </cfRule>
    <cfRule type="expression" dxfId="3250" priority="92">
      <formula>L$9&lt;8/24</formula>
    </cfRule>
  </conditionalFormatting>
  <conditionalFormatting sqref="L55:AF66">
    <cfRule type="expression" dxfId="3249" priority="5">
      <formula>L55&gt;$AG55</formula>
    </cfRule>
  </conditionalFormatting>
  <conditionalFormatting sqref="L54:AG54">
    <cfRule type="expression" dxfId="3248" priority="80">
      <formula>L$9&lt;8/24</formula>
    </cfRule>
    <cfRule type="expression" dxfId="3247" priority="79">
      <formula>AND(L$9&gt;=8/24,L$9&lt;14/24)</formula>
    </cfRule>
    <cfRule type="expression" dxfId="3246" priority="78">
      <formula>AND(L$9&gt;=14/24,L$9&lt;20/24)</formula>
    </cfRule>
    <cfRule type="expression" dxfId="3245" priority="77">
      <formula>L$9&gt;=20/24</formula>
    </cfRule>
    <cfRule type="expression" dxfId="3244" priority="76">
      <formula>L54&gt;$AG54</formula>
    </cfRule>
  </conditionalFormatting>
  <conditionalFormatting sqref="M55:Z59">
    <cfRule type="expression" dxfId="3243" priority="95">
      <formula>AND(M$9&gt;=8/24,M$9&lt;14/24)</formula>
    </cfRule>
    <cfRule type="expression" dxfId="3242" priority="96">
      <formula>M$9&lt;8/24</formula>
    </cfRule>
    <cfRule type="expression" dxfId="3241" priority="93">
      <formula>M$9&gt;=20/24</formula>
    </cfRule>
    <cfRule type="expression" dxfId="3240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239" priority="114">
      <formula>C$9&gt;=20/24</formula>
    </cfRule>
  </conditionalFormatting>
  <conditionalFormatting sqref="S8">
    <cfRule type="expression" dxfId="3238" priority="101">
      <formula>U$9&gt;=20/24</formula>
    </cfRule>
    <cfRule type="expression" dxfId="3237" priority="102">
      <formula>AND(U$9&gt;=14/24,U$9&lt;20/24)</formula>
    </cfRule>
    <cfRule type="expression" dxfId="3236" priority="103">
      <formula>AND(U$9&gt;=8/24,U$9&lt;14/24)</formula>
    </cfRule>
    <cfRule type="expression" dxfId="3235" priority="104">
      <formula>U$9&lt;8/24</formula>
    </cfRule>
  </conditionalFormatting>
  <conditionalFormatting sqref="S55:AF60">
    <cfRule type="expression" dxfId="3234" priority="11">
      <formula>AND(S$9&gt;=14/24,S$9&lt;20/24)</formula>
    </cfRule>
    <cfRule type="expression" dxfId="3233" priority="10">
      <formula>S$9&gt;=20/24</formula>
    </cfRule>
    <cfRule type="expression" dxfId="3232" priority="13">
      <formula>S$9&lt;8/24</formula>
    </cfRule>
    <cfRule type="expression" dxfId="3231" priority="12">
      <formula>AND(S$9&gt;=8/24,S$9&lt;14/24)</formula>
    </cfRule>
  </conditionalFormatting>
  <conditionalFormatting sqref="T248">
    <cfRule type="expression" dxfId="3230" priority="129">
      <formula>AX$9&lt;8/24</formula>
    </cfRule>
    <cfRule type="expression" dxfId="3229" priority="126">
      <formula>AX$9&gt;=20/24</formula>
    </cfRule>
    <cfRule type="expression" dxfId="3228" priority="127">
      <formula>AND(AX$9&gt;=14/24,AX$9&lt;20/24)</formula>
    </cfRule>
    <cfRule type="expression" dxfId="3227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226" priority="97">
      <formula>AD$9&gt;=20/24</formula>
    </cfRule>
    <cfRule type="expression" dxfId="3225" priority="98">
      <formula>AND(AD$9&gt;=14/24,AD$9&lt;20/24)</formula>
    </cfRule>
    <cfRule type="expression" dxfId="3224" priority="99">
      <formula>AND(AD$9&gt;=8/24,AD$9&lt;14/24)</formula>
    </cfRule>
    <cfRule type="expression" dxfId="3223" priority="100">
      <formula>AD$9&lt;8/24</formula>
    </cfRule>
  </conditionalFormatting>
  <conditionalFormatting sqref="AG50">
    <cfRule type="expression" dxfId="3222" priority="84">
      <formula>AG50&gt;$AG50</formula>
    </cfRule>
  </conditionalFormatting>
  <conditionalFormatting sqref="AG89">
    <cfRule type="expression" dxfId="3221" priority="85">
      <formula>AG$9&gt;=20/24</formula>
    </cfRule>
    <cfRule type="expression" dxfId="3220" priority="86">
      <formula>AND(AG$9&gt;=14/24,AG$9&lt;20/24)</formula>
    </cfRule>
    <cfRule type="expression" dxfId="3219" priority="88">
      <formula>AG$9&lt;8/24</formula>
    </cfRule>
    <cfRule type="expression" dxfId="3218" priority="87">
      <formula>AND(AG$9&gt;=8/24,AG$9&lt;14/24)</formula>
    </cfRule>
  </conditionalFormatting>
  <conditionalFormatting sqref="AG248">
    <cfRule type="expression" dxfId="3217" priority="118">
      <formula>B$9&gt;=20/24</formula>
    </cfRule>
    <cfRule type="expression" dxfId="3216" priority="119">
      <formula>AND(B$9&gt;=14/24,B$9&lt;20/24)</formula>
    </cfRule>
    <cfRule type="expression" dxfId="3215" priority="120">
      <formula>AND(B$9&gt;=8/24,B$9&lt;14/24)</formula>
    </cfRule>
    <cfRule type="expression" dxfId="3214" priority="121">
      <formula>B$9&lt;8/24</formula>
    </cfRule>
  </conditionalFormatting>
  <conditionalFormatting sqref="AH248:AX248">
    <cfRule type="expression" dxfId="3213" priority="122">
      <formula>AG$9&gt;=20/24</formula>
    </cfRule>
    <cfRule type="expression" dxfId="3212" priority="123">
      <formula>AND(AG$9&gt;=14/24,AG$9&lt;20/24)</formula>
    </cfRule>
    <cfRule type="expression" dxfId="3211" priority="124">
      <formula>AND(AG$9&gt;=8/24,AG$9&lt;14/24)</formula>
    </cfRule>
    <cfRule type="expression" dxfId="321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209" priority="131">
      <formula>AJ$9&gt;=20/24</formula>
    </cfRule>
    <cfRule type="expression" dxfId="3208" priority="132">
      <formula>AND(AJ$9&gt;=14/24,AJ$9&lt;20/24)</formula>
    </cfRule>
    <cfRule type="expression" dxfId="3207" priority="133">
      <formula>AND(AJ$9&gt;=8/24,AJ$9&lt;14/24)</formula>
    </cfRule>
    <cfRule type="expression" dxfId="3206" priority="134">
      <formula>AJ$9&lt;8/24</formula>
    </cfRule>
  </conditionalFormatting>
  <conditionalFormatting sqref="AL80:AN80 AL86:AN86">
    <cfRule type="expression" dxfId="3205" priority="73">
      <formula>AND(AL$9&gt;=14/24,AL$9&lt;20/24)</formula>
    </cfRule>
    <cfRule type="expression" dxfId="3204" priority="74">
      <formula>AND(AL$9&gt;=8/24,AL$9&lt;14/24)</formula>
    </cfRule>
    <cfRule type="expression" dxfId="3203" priority="72">
      <formula>AL$9&gt;=20/24</formula>
    </cfRule>
    <cfRule type="expression" dxfId="3202" priority="75">
      <formula>AL$9&lt;8/24</formula>
    </cfRule>
  </conditionalFormatting>
  <conditionalFormatting sqref="AN81:AN84">
    <cfRule type="expression" dxfId="3201" priority="70">
      <formula>AND(AN$9&gt;=8/24,AN$9&lt;14/24)</formula>
    </cfRule>
    <cfRule type="expression" dxfId="3200" priority="69">
      <formula>AND(AN$9&gt;=14/24,AN$9&lt;20/24)</formula>
    </cfRule>
    <cfRule type="expression" dxfId="3199" priority="68">
      <formula>AN$9&gt;=20/24</formula>
    </cfRule>
    <cfRule type="expression" dxfId="3198" priority="71">
      <formula>AN$9&lt;8/24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CB31-30C9-46B3-AFD0-39456661C329}">
  <sheetPr codeName="Sheet9"/>
  <dimension ref="A1:CJ281"/>
  <sheetViews>
    <sheetView workbookViewId="0">
      <pane xSplit="1" ySplit="10" topLeftCell="H66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8.28515625" style="1" customWidth="1"/>
    <col min="12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2080/05/7</v>
      </c>
      <c r="C4" s="196"/>
      <c r="D4" s="196"/>
      <c r="E4" s="197" t="str">
        <f ca="1">"2080/"&amp;"05/"&amp;INT(MID(CELL("filename",G6),FIND("]",CELL("filename",G6))+1,200))</f>
        <v>2080/05/7</v>
      </c>
      <c r="F4" s="197"/>
      <c r="G4" s="197"/>
      <c r="H4" s="197" t="str">
        <f ca="1">TEXT(E4,"dddd")</f>
        <v>Tuesday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11.7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8.1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5.8</v>
      </c>
      <c r="AA5" s="30">
        <f t="shared" si="0"/>
        <v>6.9</v>
      </c>
      <c r="AB5" s="30">
        <f t="shared" si="0"/>
        <v>9.4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2019MW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1884.14</v>
      </c>
      <c r="C7" s="35">
        <f t="shared" si="1"/>
        <v>1817.3400000000001</v>
      </c>
      <c r="D7" s="35">
        <f t="shared" si="1"/>
        <v>1845.8400000000001</v>
      </c>
      <c r="E7" s="35">
        <f t="shared" si="1"/>
        <v>1835.3400000000001</v>
      </c>
      <c r="F7" s="35">
        <f t="shared" si="1"/>
        <v>1802.3400000000001</v>
      </c>
      <c r="G7" s="35">
        <f t="shared" si="1"/>
        <v>1838.44</v>
      </c>
      <c r="H7" s="35">
        <f t="shared" si="1"/>
        <v>1853.8400000000001</v>
      </c>
      <c r="I7" s="35">
        <f t="shared" si="1"/>
        <v>1855.64</v>
      </c>
      <c r="J7" s="35">
        <f t="shared" si="1"/>
        <v>1884.04</v>
      </c>
      <c r="K7" s="35">
        <f t="shared" si="1"/>
        <v>1922.1399999999999</v>
      </c>
      <c r="L7" s="35">
        <f t="shared" si="1"/>
        <v>2018.54</v>
      </c>
      <c r="M7" s="35">
        <f t="shared" si="1"/>
        <v>1932.74</v>
      </c>
      <c r="N7" s="35">
        <f>N91</f>
        <v>1944.54</v>
      </c>
      <c r="O7" s="35">
        <f t="shared" si="1"/>
        <v>1932.6399999999999</v>
      </c>
      <c r="P7" s="35">
        <f t="shared" si="1"/>
        <v>1906.44</v>
      </c>
      <c r="Q7" s="35">
        <f t="shared" si="1"/>
        <v>3.54</v>
      </c>
      <c r="R7" s="35">
        <f t="shared" si="1"/>
        <v>1894.74</v>
      </c>
      <c r="S7" s="35">
        <f t="shared" si="1"/>
        <v>1926.04</v>
      </c>
      <c r="T7" s="35">
        <f t="shared" si="1"/>
        <v>1982.74</v>
      </c>
      <c r="U7" s="35">
        <f t="shared" si="1"/>
        <v>1995.64</v>
      </c>
      <c r="V7" s="35">
        <f t="shared" si="1"/>
        <v>1976.2400000000002</v>
      </c>
      <c r="W7" s="35">
        <f t="shared" si="1"/>
        <v>1916.0400000000002</v>
      </c>
      <c r="X7" s="35">
        <f t="shared" si="1"/>
        <v>1951.44</v>
      </c>
      <c r="Y7" s="35">
        <f t="shared" si="1"/>
        <v>1946.9399999999998</v>
      </c>
      <c r="Z7" s="35">
        <f t="shared" si="1"/>
        <v>2005.1399999999999</v>
      </c>
      <c r="AA7" s="35">
        <f t="shared" si="1"/>
        <v>2087.04</v>
      </c>
      <c r="AB7" s="35">
        <f t="shared" si="1"/>
        <v>2081.2400000000002</v>
      </c>
      <c r="AC7" s="35">
        <f t="shared" si="1"/>
        <v>2036.0400000000004</v>
      </c>
      <c r="AD7" s="35">
        <f t="shared" si="1"/>
        <v>2026.6400000000003</v>
      </c>
      <c r="AE7" s="35">
        <f t="shared" si="1"/>
        <v>1963.1400000000003</v>
      </c>
      <c r="AF7" s="35">
        <f t="shared" si="1"/>
        <v>1936.4400000000003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86.4</v>
      </c>
      <c r="C11" s="45">
        <v>86.4</v>
      </c>
      <c r="D11" s="45">
        <v>86.4</v>
      </c>
      <c r="E11" s="45">
        <v>86.7</v>
      </c>
      <c r="F11" s="45">
        <v>89.8</v>
      </c>
      <c r="G11" s="45">
        <v>89.6</v>
      </c>
      <c r="H11" s="45">
        <v>89.6</v>
      </c>
      <c r="I11" s="45">
        <v>89.6</v>
      </c>
      <c r="J11" s="45">
        <v>89.6</v>
      </c>
      <c r="K11" s="45">
        <v>89.6</v>
      </c>
      <c r="L11" s="45">
        <v>89.6</v>
      </c>
      <c r="M11" s="45">
        <v>86.6</v>
      </c>
      <c r="N11" s="45">
        <v>86.6</v>
      </c>
      <c r="O11" s="45">
        <v>86.6</v>
      </c>
      <c r="P11" s="45">
        <v>86.6</v>
      </c>
      <c r="Q11" s="45" t="s">
        <v>265</v>
      </c>
      <c r="R11" s="45">
        <v>86.6</v>
      </c>
      <c r="S11" s="45">
        <v>87</v>
      </c>
      <c r="T11" s="45">
        <v>87</v>
      </c>
      <c r="U11" s="45">
        <v>87</v>
      </c>
      <c r="V11" s="45">
        <v>87</v>
      </c>
      <c r="W11" s="45">
        <v>87</v>
      </c>
      <c r="X11" s="45">
        <v>87</v>
      </c>
      <c r="Y11" s="45">
        <v>87</v>
      </c>
      <c r="Z11" s="45">
        <v>87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86.4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5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0</v>
      </c>
      <c r="Q12" s="45" t="s">
        <v>266</v>
      </c>
      <c r="R12" s="45">
        <v>0</v>
      </c>
      <c r="S12" s="45">
        <v>8</v>
      </c>
      <c r="T12" s="45">
        <v>13</v>
      </c>
      <c r="U12" s="45">
        <v>9</v>
      </c>
      <c r="V12" s="45">
        <v>9</v>
      </c>
      <c r="W12" s="45">
        <v>9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54.9</v>
      </c>
      <c r="C13" s="45">
        <v>54.8</v>
      </c>
      <c r="D13" s="45">
        <v>54.7</v>
      </c>
      <c r="E13" s="45">
        <v>54.7</v>
      </c>
      <c r="F13" s="45">
        <v>28.7</v>
      </c>
      <c r="G13" s="45">
        <v>53.4</v>
      </c>
      <c r="H13" s="45">
        <v>54.7</v>
      </c>
      <c r="I13" s="45">
        <v>54.7</v>
      </c>
      <c r="J13" s="45">
        <v>54.7</v>
      </c>
      <c r="K13" s="45">
        <v>54.7</v>
      </c>
      <c r="L13" s="45">
        <v>54.7</v>
      </c>
      <c r="M13" s="45">
        <v>54.7</v>
      </c>
      <c r="N13" s="45">
        <v>54.9</v>
      </c>
      <c r="O13" s="45">
        <v>54.7</v>
      </c>
      <c r="P13" s="45">
        <v>54.7</v>
      </c>
      <c r="Q13" s="45" t="s">
        <v>267</v>
      </c>
      <c r="R13" s="45">
        <v>54.7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54.9</v>
      </c>
      <c r="AI13" s="48">
        <f t="shared" si="3"/>
        <v>28.7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50.5</v>
      </c>
      <c r="C14" s="45">
        <v>50.5</v>
      </c>
      <c r="D14" s="45">
        <v>50.3</v>
      </c>
      <c r="E14" s="58">
        <v>50.4</v>
      </c>
      <c r="F14" s="58">
        <v>50.4</v>
      </c>
      <c r="G14" s="58">
        <v>50.1</v>
      </c>
      <c r="H14" s="58">
        <v>50.1</v>
      </c>
      <c r="I14" s="58">
        <v>50.1</v>
      </c>
      <c r="J14" s="58">
        <v>50.1</v>
      </c>
      <c r="K14" s="58">
        <v>50.1</v>
      </c>
      <c r="L14" s="58">
        <v>50.1</v>
      </c>
      <c r="M14" s="58">
        <v>50.1</v>
      </c>
      <c r="N14" s="58">
        <v>50.4</v>
      </c>
      <c r="O14" s="58">
        <v>50.3</v>
      </c>
      <c r="P14" s="58">
        <v>50.3</v>
      </c>
      <c r="Q14" s="58" t="s">
        <v>268</v>
      </c>
      <c r="R14" s="58">
        <v>50.3</v>
      </c>
      <c r="S14" s="58">
        <v>50.2</v>
      </c>
      <c r="T14" s="58">
        <v>50.2</v>
      </c>
      <c r="U14" s="58">
        <v>50.2</v>
      </c>
      <c r="V14" s="58">
        <v>50.2</v>
      </c>
      <c r="W14" s="58">
        <v>50.2</v>
      </c>
      <c r="X14" s="58">
        <v>50.2</v>
      </c>
      <c r="Y14" s="58">
        <v>50.2</v>
      </c>
      <c r="Z14" s="58">
        <v>50.2</v>
      </c>
      <c r="AA14" s="45">
        <v>50.2</v>
      </c>
      <c r="AB14" s="45">
        <v>50.2</v>
      </c>
      <c r="AC14" s="45">
        <v>50.2</v>
      </c>
      <c r="AD14" s="45">
        <v>50.2</v>
      </c>
      <c r="AE14" s="45">
        <v>50.2</v>
      </c>
      <c r="AF14" s="45">
        <v>50.2</v>
      </c>
      <c r="AG14" s="49">
        <v>50</v>
      </c>
      <c r="AH14" s="47">
        <f t="shared" si="2"/>
        <v>50.5</v>
      </c>
      <c r="AI14" s="48">
        <f t="shared" si="3"/>
        <v>50.1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45</v>
      </c>
      <c r="C15" s="45">
        <v>38</v>
      </c>
      <c r="D15" s="45">
        <v>39</v>
      </c>
      <c r="E15" s="45">
        <v>39.799999999999997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46.9</v>
      </c>
      <c r="M15" s="45">
        <v>46.9</v>
      </c>
      <c r="N15" s="45">
        <v>46.8</v>
      </c>
      <c r="O15" s="45">
        <v>46.7</v>
      </c>
      <c r="P15" s="45">
        <v>46.7</v>
      </c>
      <c r="Q15" s="45" t="s">
        <v>269</v>
      </c>
      <c r="R15" s="45">
        <v>46.7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46.9</v>
      </c>
      <c r="AI15" s="48">
        <f t="shared" si="3"/>
        <v>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38</v>
      </c>
      <c r="M16" s="45">
        <v>0</v>
      </c>
      <c r="N16" s="45">
        <v>44</v>
      </c>
      <c r="O16" s="45">
        <v>44</v>
      </c>
      <c r="P16" s="45">
        <v>44</v>
      </c>
      <c r="Q16" s="45" t="s">
        <v>266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23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29</v>
      </c>
      <c r="O17" s="45">
        <v>29</v>
      </c>
      <c r="P17" s="45">
        <v>29</v>
      </c>
      <c r="Q17" s="45" t="s">
        <v>270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29.5</v>
      </c>
      <c r="Y17" s="45">
        <v>29.5</v>
      </c>
      <c r="Z17" s="45">
        <v>36</v>
      </c>
      <c r="AA17" s="45">
        <v>36</v>
      </c>
      <c r="AB17" s="45">
        <v>36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36</v>
      </c>
      <c r="AI17" s="48">
        <f t="shared" si="3"/>
        <v>23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 t="s">
        <v>271</v>
      </c>
      <c r="R18" s="45">
        <v>38</v>
      </c>
      <c r="S18" s="45">
        <v>38</v>
      </c>
      <c r="T18" s="45">
        <v>38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 t="s">
        <v>272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5</v>
      </c>
      <c r="K20" s="45">
        <v>15</v>
      </c>
      <c r="L20" s="45">
        <v>30</v>
      </c>
      <c r="M20" s="45">
        <v>30</v>
      </c>
      <c r="N20" s="45">
        <v>15</v>
      </c>
      <c r="O20" s="45">
        <v>5</v>
      </c>
      <c r="P20" s="45">
        <v>0</v>
      </c>
      <c r="Q20" s="45" t="s">
        <v>271</v>
      </c>
      <c r="R20" s="45">
        <v>0</v>
      </c>
      <c r="S20" s="45">
        <v>15</v>
      </c>
      <c r="T20" s="45">
        <v>10</v>
      </c>
      <c r="U20" s="45">
        <v>5</v>
      </c>
      <c r="V20" s="45">
        <v>5</v>
      </c>
      <c r="W20" s="45">
        <v>5</v>
      </c>
      <c r="X20" s="45">
        <v>15</v>
      </c>
      <c r="Y20" s="45">
        <v>15</v>
      </c>
      <c r="Z20" s="45">
        <v>30</v>
      </c>
      <c r="AA20" s="45">
        <v>30</v>
      </c>
      <c r="AB20" s="45">
        <v>30</v>
      </c>
      <c r="AC20" s="45">
        <v>15</v>
      </c>
      <c r="AD20" s="45">
        <v>15</v>
      </c>
      <c r="AE20" s="45">
        <v>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</v>
      </c>
      <c r="C21" s="45">
        <v>25</v>
      </c>
      <c r="D21" s="45">
        <v>25</v>
      </c>
      <c r="E21" s="45">
        <v>25</v>
      </c>
      <c r="F21" s="45">
        <v>25</v>
      </c>
      <c r="G21" s="45">
        <v>25</v>
      </c>
      <c r="H21" s="45">
        <v>25</v>
      </c>
      <c r="I21" s="45">
        <v>25</v>
      </c>
      <c r="J21" s="45">
        <v>25</v>
      </c>
      <c r="K21" s="45">
        <v>33</v>
      </c>
      <c r="L21" s="45">
        <v>33</v>
      </c>
      <c r="M21" s="45">
        <v>33</v>
      </c>
      <c r="N21" s="45">
        <v>29.8</v>
      </c>
      <c r="O21" s="45">
        <v>29.8</v>
      </c>
      <c r="P21" s="45">
        <v>29.8</v>
      </c>
      <c r="Q21" s="45" t="s">
        <v>268</v>
      </c>
      <c r="R21" s="45">
        <v>29.8</v>
      </c>
      <c r="S21" s="45">
        <v>29</v>
      </c>
      <c r="T21" s="45">
        <v>29</v>
      </c>
      <c r="U21" s="45">
        <v>29</v>
      </c>
      <c r="V21" s="45">
        <v>29</v>
      </c>
      <c r="W21" s="45">
        <v>29</v>
      </c>
      <c r="X21" s="45">
        <v>24</v>
      </c>
      <c r="Y21" s="45">
        <v>24</v>
      </c>
      <c r="Z21" s="45">
        <v>24.8</v>
      </c>
      <c r="AA21" s="45">
        <v>24.8</v>
      </c>
      <c r="AB21" s="45">
        <v>24.8</v>
      </c>
      <c r="AC21" s="45">
        <v>24.8</v>
      </c>
      <c r="AD21" s="45">
        <v>24.8</v>
      </c>
      <c r="AE21" s="45">
        <v>24.8</v>
      </c>
      <c r="AF21" s="45">
        <v>24.8</v>
      </c>
      <c r="AG21" s="49">
        <v>24.2</v>
      </c>
      <c r="AH21" s="47">
        <f t="shared" si="2"/>
        <v>33</v>
      </c>
      <c r="AI21" s="48">
        <f t="shared" si="3"/>
        <v>24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28.3</v>
      </c>
      <c r="C22" s="45">
        <v>28.3</v>
      </c>
      <c r="D22" s="45">
        <v>28.3</v>
      </c>
      <c r="E22" s="45">
        <v>28.3</v>
      </c>
      <c r="F22" s="45">
        <v>28.3</v>
      </c>
      <c r="G22" s="45">
        <v>28.3</v>
      </c>
      <c r="H22" s="45">
        <v>28.3</v>
      </c>
      <c r="I22" s="45">
        <v>28.3</v>
      </c>
      <c r="J22" s="45">
        <v>28.3</v>
      </c>
      <c r="K22" s="45">
        <v>28.3</v>
      </c>
      <c r="L22" s="45">
        <v>28.3</v>
      </c>
      <c r="M22" s="45">
        <v>28.3</v>
      </c>
      <c r="N22" s="45">
        <v>28.4</v>
      </c>
      <c r="O22" s="45">
        <v>28.4</v>
      </c>
      <c r="P22" s="45">
        <v>28.4</v>
      </c>
      <c r="Q22" s="45" t="s">
        <v>273</v>
      </c>
      <c r="R22" s="45">
        <v>28.4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28.4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 t="s">
        <v>274</v>
      </c>
      <c r="R23" s="45">
        <v>0</v>
      </c>
      <c r="S23" s="45">
        <v>0</v>
      </c>
      <c r="T23" s="45">
        <v>13</v>
      </c>
      <c r="U23" s="45">
        <v>5</v>
      </c>
      <c r="V23" s="45">
        <v>5</v>
      </c>
      <c r="W23" s="45">
        <v>5</v>
      </c>
      <c r="X23" s="45">
        <v>13.5</v>
      </c>
      <c r="Y23" s="45">
        <v>13.5</v>
      </c>
      <c r="Z23" s="45">
        <v>27</v>
      </c>
      <c r="AA23" s="45">
        <v>27</v>
      </c>
      <c r="AB23" s="45">
        <v>27</v>
      </c>
      <c r="AC23" s="45">
        <v>13.5</v>
      </c>
      <c r="AD23" s="45">
        <v>13.5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24.2</v>
      </c>
      <c r="C24" s="45">
        <v>24.2</v>
      </c>
      <c r="D24" s="45">
        <v>24.2</v>
      </c>
      <c r="E24" s="45">
        <v>24.2</v>
      </c>
      <c r="F24" s="45">
        <v>24.2</v>
      </c>
      <c r="G24" s="45">
        <v>24.2</v>
      </c>
      <c r="H24" s="45">
        <v>24.2</v>
      </c>
      <c r="I24" s="45">
        <v>24.2</v>
      </c>
      <c r="J24" s="45">
        <v>24.2</v>
      </c>
      <c r="K24" s="45">
        <v>24.2</v>
      </c>
      <c r="L24" s="45">
        <v>24.2</v>
      </c>
      <c r="M24" s="45">
        <v>24.2</v>
      </c>
      <c r="N24" s="45">
        <v>24.2</v>
      </c>
      <c r="O24" s="45">
        <v>24.5</v>
      </c>
      <c r="P24" s="45">
        <v>24.5</v>
      </c>
      <c r="Q24" s="45" t="s">
        <v>275</v>
      </c>
      <c r="R24" s="45">
        <v>24.5</v>
      </c>
      <c r="S24" s="45">
        <v>24.5</v>
      </c>
      <c r="T24" s="45">
        <v>26.2</v>
      </c>
      <c r="U24" s="45">
        <v>25.2</v>
      </c>
      <c r="V24" s="45">
        <v>25.2</v>
      </c>
      <c r="W24" s="45">
        <v>25.2</v>
      </c>
      <c r="X24" s="45">
        <v>25.2</v>
      </c>
      <c r="Y24" s="45">
        <v>25.2</v>
      </c>
      <c r="Z24" s="45">
        <v>25.1</v>
      </c>
      <c r="AA24" s="45">
        <v>25.1</v>
      </c>
      <c r="AB24" s="45">
        <v>25.1</v>
      </c>
      <c r="AC24" s="45">
        <v>25.1</v>
      </c>
      <c r="AD24" s="45">
        <v>25.1</v>
      </c>
      <c r="AE24" s="45">
        <v>25.1</v>
      </c>
      <c r="AF24" s="45">
        <v>25.1</v>
      </c>
      <c r="AG24" s="49">
        <v>25</v>
      </c>
      <c r="AH24" s="47">
        <f t="shared" si="2"/>
        <v>26.2</v>
      </c>
      <c r="AI24" s="48">
        <f t="shared" si="3"/>
        <v>24.2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 t="s">
        <v>276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 t="s">
        <v>270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5</v>
      </c>
      <c r="K27" s="45">
        <v>12.5</v>
      </c>
      <c r="L27" s="45">
        <v>25</v>
      </c>
      <c r="M27" s="45">
        <v>25</v>
      </c>
      <c r="N27" s="45">
        <v>12.5</v>
      </c>
      <c r="O27" s="45">
        <v>12.5</v>
      </c>
      <c r="P27" s="45">
        <v>0</v>
      </c>
      <c r="Q27" s="45" t="s">
        <v>270</v>
      </c>
      <c r="R27" s="45">
        <v>0</v>
      </c>
      <c r="S27" s="45">
        <v>3</v>
      </c>
      <c r="T27" s="45">
        <v>12</v>
      </c>
      <c r="U27" s="45">
        <v>4</v>
      </c>
      <c r="V27" s="45">
        <v>4</v>
      </c>
      <c r="W27" s="45">
        <v>4</v>
      </c>
      <c r="X27" s="45">
        <v>12.5</v>
      </c>
      <c r="Y27" s="45">
        <v>12.5</v>
      </c>
      <c r="Z27" s="45">
        <v>25</v>
      </c>
      <c r="AA27" s="45">
        <v>25</v>
      </c>
      <c r="AB27" s="45">
        <v>25</v>
      </c>
      <c r="AC27" s="45">
        <v>12.5</v>
      </c>
      <c r="AD27" s="45">
        <v>12.5</v>
      </c>
      <c r="AE27" s="45">
        <v>0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25.1</v>
      </c>
      <c r="C28" s="45">
        <v>25.1</v>
      </c>
      <c r="D28" s="45">
        <v>25.1</v>
      </c>
      <c r="E28" s="45">
        <v>25.1</v>
      </c>
      <c r="F28" s="45">
        <v>25.1</v>
      </c>
      <c r="G28" s="45">
        <v>25.1</v>
      </c>
      <c r="H28" s="45">
        <v>25.1</v>
      </c>
      <c r="I28" s="45">
        <v>25.1</v>
      </c>
      <c r="J28" s="45">
        <v>25.1</v>
      </c>
      <c r="K28" s="45">
        <v>25.1</v>
      </c>
      <c r="L28" s="45">
        <v>25.1</v>
      </c>
      <c r="M28" s="45">
        <v>25.1</v>
      </c>
      <c r="N28" s="45">
        <v>25.1</v>
      </c>
      <c r="O28" s="45">
        <v>25</v>
      </c>
      <c r="P28" s="45">
        <v>25</v>
      </c>
      <c r="Q28" s="45" t="s">
        <v>266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25.2</v>
      </c>
      <c r="Y28" s="45">
        <v>25.2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25.3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 t="s">
        <v>265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 t="s">
        <v>271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 t="s">
        <v>273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0</v>
      </c>
      <c r="K32" s="45">
        <v>0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/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4</v>
      </c>
      <c r="K33" s="45">
        <v>4</v>
      </c>
      <c r="L33" s="45">
        <v>4</v>
      </c>
      <c r="M33" s="45">
        <v>4</v>
      </c>
      <c r="N33" s="45">
        <v>5</v>
      </c>
      <c r="O33" s="45">
        <v>5</v>
      </c>
      <c r="P33" s="45">
        <v>0</v>
      </c>
      <c r="Q33" s="45"/>
      <c r="R33" s="45">
        <v>0</v>
      </c>
      <c r="S33" s="45">
        <v>7</v>
      </c>
      <c r="T33" s="45">
        <v>7</v>
      </c>
      <c r="U33" s="45">
        <v>4</v>
      </c>
      <c r="V33" s="45">
        <v>4</v>
      </c>
      <c r="W33" s="45">
        <v>4</v>
      </c>
      <c r="X33" s="45">
        <v>5</v>
      </c>
      <c r="Y33" s="45">
        <v>5</v>
      </c>
      <c r="Z33" s="45">
        <v>7</v>
      </c>
      <c r="AA33" s="45">
        <v>7</v>
      </c>
      <c r="AB33" s="45">
        <v>7</v>
      </c>
      <c r="AC33" s="45">
        <v>4</v>
      </c>
      <c r="AD33" s="45">
        <v>4</v>
      </c>
      <c r="AE33" s="45">
        <v>4</v>
      </c>
      <c r="AF33" s="45">
        <v>0</v>
      </c>
      <c r="AG33" s="49">
        <v>20</v>
      </c>
      <c r="AH33" s="47">
        <f t="shared" si="2"/>
        <v>7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2</v>
      </c>
      <c r="P34" s="45">
        <v>0</v>
      </c>
      <c r="Q34" s="45"/>
      <c r="R34" s="45">
        <v>0</v>
      </c>
      <c r="S34" s="45">
        <v>5</v>
      </c>
      <c r="T34" s="45">
        <v>5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3.5</v>
      </c>
      <c r="AD34" s="45">
        <v>3.5</v>
      </c>
      <c r="AE34" s="45">
        <v>0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/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/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/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/>
      <c r="R38" s="45">
        <v>6</v>
      </c>
      <c r="S38" s="45">
        <v>9</v>
      </c>
      <c r="T38" s="45">
        <v>9</v>
      </c>
      <c r="U38" s="45">
        <v>9</v>
      </c>
      <c r="V38" s="45">
        <v>9</v>
      </c>
      <c r="W38" s="45">
        <v>9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2</v>
      </c>
      <c r="K39" s="45">
        <v>6</v>
      </c>
      <c r="L39" s="45">
        <v>12</v>
      </c>
      <c r="M39" s="45">
        <v>12</v>
      </c>
      <c r="N39" s="45">
        <v>6</v>
      </c>
      <c r="O39" s="45">
        <v>6</v>
      </c>
      <c r="P39" s="45">
        <v>6</v>
      </c>
      <c r="Q39" s="45"/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12</v>
      </c>
      <c r="AA39" s="45">
        <v>12</v>
      </c>
      <c r="AB39" s="45">
        <v>12</v>
      </c>
      <c r="AC39" s="45">
        <v>6</v>
      </c>
      <c r="AD39" s="45">
        <v>6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/>
      <c r="R40" s="45">
        <v>12</v>
      </c>
      <c r="S40" s="45">
        <v>12</v>
      </c>
      <c r="T40" s="45">
        <v>12</v>
      </c>
      <c r="U40" s="45">
        <v>2</v>
      </c>
      <c r="V40" s="45">
        <v>2</v>
      </c>
      <c r="W40" s="45">
        <v>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/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/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/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/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/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/>
      <c r="R46" s="45">
        <v>9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54">
        <v>10</v>
      </c>
      <c r="AH46" s="47">
        <f t="shared" si="2"/>
        <v>9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/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/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27.2+80.7</f>
        <v>107.9</v>
      </c>
      <c r="C49" s="56">
        <f>27.2+80.7</f>
        <v>107.9</v>
      </c>
      <c r="D49" s="56">
        <f>28.1+82.9</f>
        <v>111</v>
      </c>
      <c r="E49" s="58">
        <f>82.1+27.8</f>
        <v>109.89999999999999</v>
      </c>
      <c r="F49" s="58">
        <f>83.2+28</f>
        <v>111.2</v>
      </c>
      <c r="G49" s="58">
        <f>82.8+27.8</f>
        <v>110.6</v>
      </c>
      <c r="H49" s="58">
        <f>82.3+27.5</f>
        <v>109.8</v>
      </c>
      <c r="I49" s="58">
        <f>82.6+27.6</f>
        <v>110.19999999999999</v>
      </c>
      <c r="J49" s="58">
        <f>82+27.5</f>
        <v>109.5</v>
      </c>
      <c r="K49" s="58">
        <f>81.6+27.2</f>
        <v>108.8</v>
      </c>
      <c r="L49" s="58">
        <f>77.8+22.7</f>
        <v>100.5</v>
      </c>
      <c r="M49" s="58">
        <f>77.8+22.7</f>
        <v>100.5</v>
      </c>
      <c r="N49" s="58">
        <v>107</v>
      </c>
      <c r="O49" s="58">
        <v>108</v>
      </c>
      <c r="P49" s="58">
        <v>108</v>
      </c>
      <c r="Q49" s="58"/>
      <c r="R49" s="58">
        <v>108</v>
      </c>
      <c r="S49" s="58">
        <v>108</v>
      </c>
      <c r="T49" s="58">
        <v>108</v>
      </c>
      <c r="U49" s="58">
        <v>108</v>
      </c>
      <c r="V49" s="58">
        <v>108</v>
      </c>
      <c r="W49" s="58">
        <v>108</v>
      </c>
      <c r="X49" s="58">
        <v>108</v>
      </c>
      <c r="Y49" s="58">
        <v>108</v>
      </c>
      <c r="Z49" s="58">
        <f>23.9+70.6</f>
        <v>94.5</v>
      </c>
      <c r="AA49" s="56">
        <v>95.199999999999989</v>
      </c>
      <c r="AB49" s="56">
        <v>88.8</v>
      </c>
      <c r="AC49" s="56">
        <v>88.8</v>
      </c>
      <c r="AD49" s="56">
        <v>109.6</v>
      </c>
      <c r="AE49" s="56">
        <v>109.6</v>
      </c>
      <c r="AF49" s="56">
        <v>109.6</v>
      </c>
      <c r="AG49" s="54">
        <v>240</v>
      </c>
      <c r="AH49" s="47">
        <f t="shared" si="2"/>
        <v>111.2</v>
      </c>
      <c r="AI49" s="48">
        <f t="shared" si="3"/>
        <v>88.8</v>
      </c>
      <c r="AK49" s="50"/>
    </row>
    <row r="50" spans="1:41" ht="15.75" thickBot="1" x14ac:dyDescent="0.3">
      <c r="A50" s="59" t="s">
        <v>58</v>
      </c>
      <c r="B50" s="60">
        <f>SUM(B11:B48)</f>
        <v>1025.9000000000001</v>
      </c>
      <c r="C50" s="60">
        <f>SUM(C11:C48)</f>
        <v>1018.8</v>
      </c>
      <c r="D50" s="60">
        <f>SUM(D11:D48)</f>
        <v>1019.5</v>
      </c>
      <c r="E50" s="60">
        <f t="shared" ref="E50:AF50" si="4">SUM(E11:E48)</f>
        <v>1015.7</v>
      </c>
      <c r="F50" s="60">
        <f t="shared" si="4"/>
        <v>958</v>
      </c>
      <c r="G50" s="60">
        <f t="shared" si="4"/>
        <v>982.2</v>
      </c>
      <c r="H50" s="60">
        <f t="shared" si="4"/>
        <v>983.5</v>
      </c>
      <c r="I50" s="60">
        <f t="shared" si="4"/>
        <v>983.5</v>
      </c>
      <c r="J50" s="60">
        <f t="shared" si="4"/>
        <v>986.5</v>
      </c>
      <c r="K50" s="60">
        <f t="shared" si="4"/>
        <v>1024</v>
      </c>
      <c r="L50" s="60">
        <f t="shared" si="4"/>
        <v>1120.4000000000001</v>
      </c>
      <c r="M50" s="60">
        <f t="shared" si="4"/>
        <v>1079.4000000000001</v>
      </c>
      <c r="N50" s="60">
        <f t="shared" si="4"/>
        <v>1089.1999999999998</v>
      </c>
      <c r="O50" s="60">
        <f t="shared" si="4"/>
        <v>1077</v>
      </c>
      <c r="P50" s="60">
        <f t="shared" si="4"/>
        <v>1039.5</v>
      </c>
      <c r="Q50" s="60">
        <f t="shared" si="4"/>
        <v>0</v>
      </c>
      <c r="R50" s="60">
        <f t="shared" si="4"/>
        <v>1039.5</v>
      </c>
      <c r="S50" s="60">
        <f t="shared" si="4"/>
        <v>1069.7</v>
      </c>
      <c r="T50" s="60">
        <f t="shared" si="4"/>
        <v>1093.4000000000001</v>
      </c>
      <c r="U50" s="60">
        <f t="shared" si="4"/>
        <v>1050.4000000000001</v>
      </c>
      <c r="V50" s="60">
        <f t="shared" si="4"/>
        <v>1050.4000000000001</v>
      </c>
      <c r="W50" s="60">
        <f>SUM(W11:W48)</f>
        <v>1050.4000000000001</v>
      </c>
      <c r="X50" s="60">
        <f>SUM(X11:X48)</f>
        <v>1091.0999999999999</v>
      </c>
      <c r="Y50" s="60">
        <f t="shared" si="4"/>
        <v>1091.0999999999999</v>
      </c>
      <c r="Z50" s="60">
        <f t="shared" si="4"/>
        <v>1150.4000000000001</v>
      </c>
      <c r="AA50" s="60">
        <f t="shared" si="4"/>
        <v>1173.4000000000001</v>
      </c>
      <c r="AB50" s="60">
        <f t="shared" si="4"/>
        <v>1173.4000000000001</v>
      </c>
      <c r="AC50" s="60">
        <f t="shared" si="4"/>
        <v>1115.9000000000001</v>
      </c>
      <c r="AD50" s="60">
        <f t="shared" si="4"/>
        <v>1115.9000000000001</v>
      </c>
      <c r="AE50" s="60">
        <f t="shared" si="4"/>
        <v>1052.4000000000001</v>
      </c>
      <c r="AF50" s="60">
        <f t="shared" si="4"/>
        <v>1048.4000000000001</v>
      </c>
      <c r="AG50" s="61">
        <f>SUM(AG13:AG48)</f>
        <v>922.14</v>
      </c>
      <c r="AH50" s="47">
        <f t="shared" si="2"/>
        <v>1173.4000000000001</v>
      </c>
      <c r="AI50" s="48">
        <f t="shared" si="3"/>
        <v>0</v>
      </c>
      <c r="AK50" s="50"/>
    </row>
    <row r="51" spans="1:41" x14ac:dyDescent="0.25">
      <c r="A51" s="62" t="s">
        <v>59</v>
      </c>
      <c r="B51" s="175">
        <v>456</v>
      </c>
      <c r="C51" s="175">
        <v>456</v>
      </c>
      <c r="D51" s="175">
        <v>456</v>
      </c>
      <c r="E51" s="175">
        <v>456</v>
      </c>
      <c r="F51" s="175">
        <v>456</v>
      </c>
      <c r="G51" s="175">
        <v>456</v>
      </c>
      <c r="H51" s="175">
        <v>456</v>
      </c>
      <c r="I51" s="175">
        <v>456</v>
      </c>
      <c r="J51" s="175">
        <v>456</v>
      </c>
      <c r="K51" s="175">
        <v>456</v>
      </c>
      <c r="L51" s="175">
        <v>456</v>
      </c>
      <c r="M51" s="175">
        <v>456</v>
      </c>
      <c r="N51" s="175">
        <v>456</v>
      </c>
      <c r="O51" s="175">
        <v>456</v>
      </c>
      <c r="P51" s="175">
        <v>456</v>
      </c>
      <c r="Q51" s="175"/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/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20.100000000000001</v>
      </c>
      <c r="C53" s="66">
        <v>20.100000000000001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/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18.100000000000001</v>
      </c>
      <c r="Z53" s="66">
        <v>18.100000000000001</v>
      </c>
      <c r="AA53" s="66">
        <v>18.100000000000001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18.100000000000001</v>
      </c>
      <c r="AK53" s="50"/>
    </row>
    <row r="54" spans="1:41" ht="15.75" thickBot="1" x14ac:dyDescent="0.3">
      <c r="A54" s="68" t="s">
        <v>62</v>
      </c>
      <c r="B54" s="60">
        <f>SUM(B51:B53)</f>
        <v>536.1</v>
      </c>
      <c r="C54" s="60">
        <f>SUM(C51:C53)</f>
        <v>536.1</v>
      </c>
      <c r="D54" s="60">
        <f>SUM(D51:D53)</f>
        <v>538.5</v>
      </c>
      <c r="E54" s="60">
        <f t="shared" ref="E54:AG54" si="5">SUM(E51:E53)</f>
        <v>538.5</v>
      </c>
      <c r="F54" s="60">
        <f t="shared" si="5"/>
        <v>538.5</v>
      </c>
      <c r="G54" s="60">
        <f t="shared" si="5"/>
        <v>538.5</v>
      </c>
      <c r="H54" s="60">
        <f t="shared" si="5"/>
        <v>538.5</v>
      </c>
      <c r="I54" s="60">
        <f t="shared" si="5"/>
        <v>538.5</v>
      </c>
      <c r="J54" s="60">
        <f t="shared" si="5"/>
        <v>538.5</v>
      </c>
      <c r="K54" s="60">
        <f t="shared" si="5"/>
        <v>538.5</v>
      </c>
      <c r="L54" s="60">
        <f t="shared" si="5"/>
        <v>538.5</v>
      </c>
      <c r="M54" s="60">
        <f t="shared" si="5"/>
        <v>538.5</v>
      </c>
      <c r="N54" s="60">
        <f t="shared" si="5"/>
        <v>538.5</v>
      </c>
      <c r="O54" s="60">
        <f t="shared" si="5"/>
        <v>538.5</v>
      </c>
      <c r="P54" s="60">
        <f t="shared" si="5"/>
        <v>538.5</v>
      </c>
      <c r="Q54" s="60">
        <f t="shared" si="5"/>
        <v>0</v>
      </c>
      <c r="R54" s="60">
        <f t="shared" si="5"/>
        <v>538.5</v>
      </c>
      <c r="S54" s="60">
        <f t="shared" si="5"/>
        <v>538.5</v>
      </c>
      <c r="T54" s="60">
        <f t="shared" si="5"/>
        <v>538.5</v>
      </c>
      <c r="U54" s="60">
        <f t="shared" si="5"/>
        <v>538.5</v>
      </c>
      <c r="V54" s="60">
        <f t="shared" si="5"/>
        <v>538.5</v>
      </c>
      <c r="W54" s="60">
        <f>SUM(W51:W53)</f>
        <v>538.5</v>
      </c>
      <c r="X54" s="60">
        <f>SUM(X51:X53)</f>
        <v>538.5</v>
      </c>
      <c r="Y54" s="60">
        <f t="shared" si="5"/>
        <v>534.1</v>
      </c>
      <c r="Z54" s="60">
        <f t="shared" si="5"/>
        <v>534.1</v>
      </c>
      <c r="AA54" s="60">
        <f t="shared" si="5"/>
        <v>534.1</v>
      </c>
      <c r="AB54" s="60">
        <f t="shared" si="5"/>
        <v>538.4</v>
      </c>
      <c r="AC54" s="60">
        <f t="shared" si="5"/>
        <v>538.4</v>
      </c>
      <c r="AD54" s="60">
        <f t="shared" si="5"/>
        <v>538.4</v>
      </c>
      <c r="AE54" s="60">
        <f t="shared" si="5"/>
        <v>538.4</v>
      </c>
      <c r="AF54" s="60">
        <f t="shared" si="5"/>
        <v>538.4</v>
      </c>
      <c r="AG54" s="61">
        <f t="shared" si="5"/>
        <v>538.1</v>
      </c>
      <c r="AH54" s="47">
        <f t="shared" si="2"/>
        <v>538.5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120</v>
      </c>
      <c r="C55" s="45">
        <v>105.4</v>
      </c>
      <c r="D55" s="45">
        <v>105.5</v>
      </c>
      <c r="E55" s="45">
        <v>105.4</v>
      </c>
      <c r="F55" s="45">
        <v>105.3</v>
      </c>
      <c r="G55" s="45">
        <v>115.4</v>
      </c>
      <c r="H55" s="45">
        <v>125.4</v>
      </c>
      <c r="I55" s="45">
        <v>125.4</v>
      </c>
      <c r="J55" s="45">
        <v>133.80000000000001</v>
      </c>
      <c r="K55" s="45">
        <v>133.80000000000001</v>
      </c>
      <c r="L55" s="45">
        <v>133.80000000000001</v>
      </c>
      <c r="M55" s="45">
        <v>134</v>
      </c>
      <c r="N55" s="45">
        <v>133.80000000000001</v>
      </c>
      <c r="O55" s="45">
        <v>134</v>
      </c>
      <c r="P55" s="45">
        <v>133.6</v>
      </c>
      <c r="Q55" s="45"/>
      <c r="R55" s="45">
        <v>133.6</v>
      </c>
      <c r="S55" s="45">
        <v>133.6</v>
      </c>
      <c r="T55" s="45">
        <v>133.6</v>
      </c>
      <c r="U55" s="45">
        <v>134.6</v>
      </c>
      <c r="V55" s="45">
        <v>134.6</v>
      </c>
      <c r="W55" s="45">
        <v>134.6</v>
      </c>
      <c r="X55" s="45">
        <v>134.6</v>
      </c>
      <c r="Y55" s="45">
        <v>134.5</v>
      </c>
      <c r="Z55" s="45">
        <v>135.19999999999999</v>
      </c>
      <c r="AA55" s="45">
        <v>135.1</v>
      </c>
      <c r="AB55" s="45">
        <v>134.9</v>
      </c>
      <c r="AC55" s="45">
        <v>135</v>
      </c>
      <c r="AD55" s="45">
        <v>135</v>
      </c>
      <c r="AE55" s="45">
        <v>135</v>
      </c>
      <c r="AF55" s="45">
        <v>123.4</v>
      </c>
      <c r="AG55" s="51">
        <v>144</v>
      </c>
      <c r="AH55" s="47">
        <f t="shared" si="2"/>
        <v>135.19999999999999</v>
      </c>
      <c r="AI55" s="48">
        <f t="shared" si="3"/>
        <v>105.3</v>
      </c>
      <c r="AK55" s="50"/>
    </row>
    <row r="56" spans="1:41" x14ac:dyDescent="0.25">
      <c r="A56" s="53" t="s">
        <v>64</v>
      </c>
      <c r="B56" s="64">
        <v>50</v>
      </c>
      <c r="C56" s="64">
        <v>45.7</v>
      </c>
      <c r="D56" s="64">
        <v>48.2</v>
      </c>
      <c r="E56" s="64">
        <v>47.5</v>
      </c>
      <c r="F56" s="64">
        <v>60</v>
      </c>
      <c r="G56" s="64">
        <v>60</v>
      </c>
      <c r="H56" s="64">
        <v>45</v>
      </c>
      <c r="I56" s="64">
        <v>45</v>
      </c>
      <c r="J56" s="64">
        <v>45</v>
      </c>
      <c r="K56" s="64">
        <v>45</v>
      </c>
      <c r="L56" s="64">
        <v>45</v>
      </c>
      <c r="M56" s="64">
        <v>0</v>
      </c>
      <c r="N56" s="64">
        <v>0</v>
      </c>
      <c r="O56" s="64">
        <v>0</v>
      </c>
      <c r="P56" s="64">
        <v>0</v>
      </c>
      <c r="Q56" s="64"/>
      <c r="R56" s="64">
        <v>0</v>
      </c>
      <c r="S56" s="64">
        <v>0</v>
      </c>
      <c r="T56" s="64">
        <v>0</v>
      </c>
      <c r="U56" s="64">
        <v>71</v>
      </c>
      <c r="V56" s="64">
        <v>71</v>
      </c>
      <c r="W56" s="64">
        <v>71</v>
      </c>
      <c r="X56" s="64">
        <v>71</v>
      </c>
      <c r="Y56" s="64">
        <v>71</v>
      </c>
      <c r="Z56" s="64">
        <v>70.5</v>
      </c>
      <c r="AA56" s="45">
        <v>70.3</v>
      </c>
      <c r="AB56" s="45">
        <v>69.8</v>
      </c>
      <c r="AC56" s="45">
        <v>69.8</v>
      </c>
      <c r="AD56" s="45">
        <v>69.8</v>
      </c>
      <c r="AE56" s="45">
        <v>69.8</v>
      </c>
      <c r="AF56" s="45">
        <v>69.8</v>
      </c>
      <c r="AG56" s="54">
        <v>70</v>
      </c>
      <c r="AH56" s="47">
        <f t="shared" si="2"/>
        <v>71</v>
      </c>
      <c r="AI56" s="48">
        <f t="shared" si="3"/>
        <v>0</v>
      </c>
      <c r="AK56" s="50"/>
    </row>
    <row r="57" spans="1:41" x14ac:dyDescent="0.25">
      <c r="A57" s="53" t="s">
        <v>65</v>
      </c>
      <c r="B57" s="64">
        <v>54.6</v>
      </c>
      <c r="C57" s="64">
        <v>53.7</v>
      </c>
      <c r="D57" s="64">
        <v>54.9</v>
      </c>
      <c r="E57" s="64">
        <v>49</v>
      </c>
      <c r="F57" s="64">
        <v>60.6</v>
      </c>
      <c r="G57" s="64">
        <v>58.1</v>
      </c>
      <c r="H57" s="64">
        <v>63.9</v>
      </c>
      <c r="I57" s="64">
        <v>63.9</v>
      </c>
      <c r="J57" s="64">
        <v>62.7</v>
      </c>
      <c r="K57" s="64">
        <v>62.7</v>
      </c>
      <c r="L57" s="64">
        <v>62.7</v>
      </c>
      <c r="M57" s="64">
        <v>62.7</v>
      </c>
      <c r="N57" s="64">
        <v>62.8</v>
      </c>
      <c r="O57" s="64">
        <v>63</v>
      </c>
      <c r="P57" s="64">
        <v>63</v>
      </c>
      <c r="Q57" s="64"/>
      <c r="R57" s="64">
        <v>63</v>
      </c>
      <c r="S57" s="64">
        <v>63</v>
      </c>
      <c r="T57" s="64">
        <v>63</v>
      </c>
      <c r="U57" s="64">
        <v>63.2</v>
      </c>
      <c r="V57" s="64">
        <v>63.2</v>
      </c>
      <c r="W57" s="64">
        <v>63.2</v>
      </c>
      <c r="X57" s="64">
        <v>63.9</v>
      </c>
      <c r="Y57" s="64">
        <v>63.9</v>
      </c>
      <c r="Z57" s="64">
        <v>63.9</v>
      </c>
      <c r="AA57" s="45">
        <v>64.5</v>
      </c>
      <c r="AB57" s="45">
        <v>54</v>
      </c>
      <c r="AC57" s="45">
        <v>63.7</v>
      </c>
      <c r="AD57" s="45">
        <v>63.7</v>
      </c>
      <c r="AE57" s="45">
        <v>63.7</v>
      </c>
      <c r="AF57" s="45">
        <v>52.6</v>
      </c>
      <c r="AG57" s="54">
        <v>69</v>
      </c>
      <c r="AH57" s="47">
        <f t="shared" si="2"/>
        <v>64.5</v>
      </c>
      <c r="AI57" s="48">
        <f t="shared" si="3"/>
        <v>49</v>
      </c>
      <c r="AK57" s="50"/>
    </row>
    <row r="58" spans="1:41" x14ac:dyDescent="0.25">
      <c r="A58" s="53" t="s">
        <v>66</v>
      </c>
      <c r="B58" s="45">
        <v>42.1</v>
      </c>
      <c r="C58" s="45">
        <v>0</v>
      </c>
      <c r="D58" s="45">
        <v>21.4</v>
      </c>
      <c r="E58" s="56">
        <v>21.4</v>
      </c>
      <c r="F58" s="56">
        <v>31.7</v>
      </c>
      <c r="G58" s="56">
        <v>30</v>
      </c>
      <c r="H58" s="56">
        <v>40</v>
      </c>
      <c r="I58" s="56">
        <v>41.8</v>
      </c>
      <c r="J58" s="56">
        <v>60</v>
      </c>
      <c r="K58" s="56">
        <v>60</v>
      </c>
      <c r="L58" s="56">
        <v>60</v>
      </c>
      <c r="M58" s="56">
        <v>60</v>
      </c>
      <c r="N58" s="64">
        <v>60</v>
      </c>
      <c r="O58" s="64">
        <v>60</v>
      </c>
      <c r="P58" s="64">
        <v>60</v>
      </c>
      <c r="Q58" s="64"/>
      <c r="R58" s="64">
        <v>60</v>
      </c>
      <c r="S58" s="64">
        <v>60</v>
      </c>
      <c r="T58" s="64">
        <v>60</v>
      </c>
      <c r="U58" s="64">
        <v>60.2</v>
      </c>
      <c r="V58" s="64">
        <v>60.2</v>
      </c>
      <c r="W58" s="64">
        <v>0</v>
      </c>
      <c r="X58" s="64">
        <v>0</v>
      </c>
      <c r="Y58" s="64">
        <v>0</v>
      </c>
      <c r="Z58" s="64">
        <v>0</v>
      </c>
      <c r="AA58" s="45">
        <v>60.9</v>
      </c>
      <c r="AB58" s="45">
        <v>60.9</v>
      </c>
      <c r="AC58" s="45">
        <v>60.9</v>
      </c>
      <c r="AD58" s="45">
        <v>60.9</v>
      </c>
      <c r="AE58" s="45">
        <v>60.9</v>
      </c>
      <c r="AF58" s="45">
        <v>60.9</v>
      </c>
      <c r="AG58" s="54">
        <v>60</v>
      </c>
      <c r="AH58" s="47">
        <f t="shared" si="2"/>
        <v>60.9</v>
      </c>
      <c r="AI58" s="48">
        <f t="shared" si="3"/>
        <v>0</v>
      </c>
      <c r="AK58" s="50"/>
    </row>
    <row r="59" spans="1:41" x14ac:dyDescent="0.25">
      <c r="A59" s="53" t="s">
        <v>67</v>
      </c>
      <c r="B59" s="45">
        <v>0</v>
      </c>
      <c r="C59" s="45">
        <v>0</v>
      </c>
      <c r="D59" s="45">
        <v>0</v>
      </c>
      <c r="E59" s="56">
        <v>0</v>
      </c>
      <c r="F59" s="56">
        <v>0</v>
      </c>
      <c r="G59" s="56">
        <v>0</v>
      </c>
      <c r="H59" s="56">
        <v>0</v>
      </c>
      <c r="I59" s="56">
        <v>0</v>
      </c>
      <c r="J59" s="56">
        <v>0</v>
      </c>
      <c r="K59" s="56">
        <v>0</v>
      </c>
      <c r="L59" s="56">
        <v>0</v>
      </c>
      <c r="M59" s="56">
        <v>0</v>
      </c>
      <c r="N59" s="64">
        <v>0</v>
      </c>
      <c r="O59" s="64">
        <v>0</v>
      </c>
      <c r="P59" s="64">
        <v>0</v>
      </c>
      <c r="Q59" s="64"/>
      <c r="R59" s="64">
        <v>0</v>
      </c>
      <c r="S59" s="64">
        <v>0</v>
      </c>
      <c r="T59" s="64">
        <v>0</v>
      </c>
      <c r="U59" s="64">
        <v>0</v>
      </c>
      <c r="V59" s="64">
        <v>0</v>
      </c>
      <c r="W59" s="64">
        <v>0</v>
      </c>
      <c r="X59" s="64">
        <v>0</v>
      </c>
      <c r="Y59" s="64">
        <v>0</v>
      </c>
      <c r="Z59" s="64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0</v>
      </c>
      <c r="AI59" s="48">
        <f t="shared" si="3"/>
        <v>0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64">
        <v>6</v>
      </c>
      <c r="O60" s="64">
        <v>5.9</v>
      </c>
      <c r="P60" s="64">
        <v>5.9</v>
      </c>
      <c r="Q60" s="64"/>
      <c r="R60" s="64">
        <v>5.9</v>
      </c>
      <c r="S60" s="64">
        <v>8</v>
      </c>
      <c r="T60" s="64">
        <v>11</v>
      </c>
      <c r="U60" s="64">
        <v>5.4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/>
      <c r="R61" s="64">
        <v>12</v>
      </c>
      <c r="S61" s="64">
        <v>12</v>
      </c>
      <c r="T61" s="64">
        <v>12</v>
      </c>
      <c r="U61" s="64">
        <v>15</v>
      </c>
      <c r="V61" s="64">
        <v>15</v>
      </c>
      <c r="W61" s="64">
        <v>15</v>
      </c>
      <c r="X61" s="64">
        <v>9</v>
      </c>
      <c r="Y61" s="64">
        <v>9</v>
      </c>
      <c r="Z61" s="64">
        <v>9</v>
      </c>
      <c r="AA61" s="64">
        <v>9</v>
      </c>
      <c r="AB61" s="64">
        <v>9</v>
      </c>
      <c r="AC61" s="64">
        <v>9</v>
      </c>
      <c r="AD61" s="64">
        <v>9</v>
      </c>
      <c r="AE61" s="64">
        <v>9</v>
      </c>
      <c r="AF61" s="64">
        <v>9</v>
      </c>
      <c r="AG61" s="54">
        <v>24</v>
      </c>
      <c r="AH61" s="47">
        <f t="shared" si="2"/>
        <v>15</v>
      </c>
      <c r="AI61" s="48">
        <f t="shared" si="3"/>
        <v>9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4.5999999999999996</v>
      </c>
      <c r="Q62" s="64"/>
      <c r="R62" s="64">
        <v>4.5999999999999996</v>
      </c>
      <c r="S62" s="64">
        <v>4.5999999999999996</v>
      </c>
      <c r="T62" s="64">
        <v>4.5999999999999996</v>
      </c>
      <c r="U62" s="64">
        <v>4.5999999999999996</v>
      </c>
      <c r="V62" s="64">
        <v>4.5999999999999996</v>
      </c>
      <c r="W62" s="64">
        <v>4.5999999999999996</v>
      </c>
      <c r="X62" s="64">
        <v>4.5999999999999996</v>
      </c>
      <c r="Y62" s="64">
        <v>4.5999999999999996</v>
      </c>
      <c r="Z62" s="64">
        <v>4.5999999999999996</v>
      </c>
      <c r="AA62" s="64">
        <v>4.5999999999999996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4.5999999999999996</v>
      </c>
      <c r="AI62" s="48">
        <f t="shared" si="3"/>
        <v>4.5999999999999996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10.3</v>
      </c>
      <c r="C63" s="64">
        <v>8.6999999999999993</v>
      </c>
      <c r="D63" s="64">
        <v>8.9</v>
      </c>
      <c r="E63" s="64">
        <v>8.9</v>
      </c>
      <c r="F63" s="64">
        <v>8.9</v>
      </c>
      <c r="G63" s="64">
        <v>8.9</v>
      </c>
      <c r="H63" s="64">
        <v>8.9</v>
      </c>
      <c r="I63" s="64">
        <v>8.9</v>
      </c>
      <c r="J63" s="64">
        <v>8.9</v>
      </c>
      <c r="K63" s="64">
        <v>8.9</v>
      </c>
      <c r="L63" s="64">
        <v>8.9</v>
      </c>
      <c r="M63" s="64">
        <v>8.9</v>
      </c>
      <c r="N63" s="64">
        <v>8.9</v>
      </c>
      <c r="O63" s="64">
        <v>8.9</v>
      </c>
      <c r="P63" s="64">
        <v>8.9</v>
      </c>
      <c r="Q63" s="64"/>
      <c r="R63" s="64">
        <v>8.9</v>
      </c>
      <c r="S63" s="64">
        <v>5.9</v>
      </c>
      <c r="T63" s="64">
        <v>5.9</v>
      </c>
      <c r="U63" s="64">
        <v>7.8</v>
      </c>
      <c r="V63" s="64">
        <v>7.8</v>
      </c>
      <c r="W63" s="64">
        <v>7.8</v>
      </c>
      <c r="X63" s="64">
        <v>7.8</v>
      </c>
      <c r="Y63" s="64">
        <v>7.8</v>
      </c>
      <c r="Z63" s="64">
        <v>6.5</v>
      </c>
      <c r="AA63" s="64">
        <v>6.5</v>
      </c>
      <c r="AB63" s="64">
        <v>6.5</v>
      </c>
      <c r="AC63" s="64">
        <v>6.5</v>
      </c>
      <c r="AD63" s="64">
        <v>6.5</v>
      </c>
      <c r="AE63" s="64">
        <v>6.5</v>
      </c>
      <c r="AF63" s="64">
        <v>6.5</v>
      </c>
      <c r="AG63" s="54">
        <v>14.1</v>
      </c>
      <c r="AH63" s="47">
        <f t="shared" si="2"/>
        <v>10.3</v>
      </c>
      <c r="AI63" s="48">
        <f t="shared" si="3"/>
        <v>5.9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9.8000000000000007</v>
      </c>
      <c r="C64" s="64">
        <v>13.6</v>
      </c>
      <c r="D64" s="64">
        <v>13.6</v>
      </c>
      <c r="E64" s="64">
        <v>13.6</v>
      </c>
      <c r="F64" s="64">
        <v>4</v>
      </c>
      <c r="G64" s="64">
        <v>10</v>
      </c>
      <c r="H64" s="64">
        <v>13.3</v>
      </c>
      <c r="I64" s="64">
        <v>13.3</v>
      </c>
      <c r="J64" s="64">
        <v>13.3</v>
      </c>
      <c r="K64" s="64">
        <v>13.9</v>
      </c>
      <c r="L64" s="64">
        <v>13.9</v>
      </c>
      <c r="M64" s="64">
        <v>13.9</v>
      </c>
      <c r="N64" s="64">
        <v>10</v>
      </c>
      <c r="O64" s="64">
        <v>10</v>
      </c>
      <c r="P64" s="64">
        <v>10</v>
      </c>
      <c r="Q64" s="64"/>
      <c r="R64" s="64">
        <v>10</v>
      </c>
      <c r="S64" s="64">
        <v>12</v>
      </c>
      <c r="T64" s="64">
        <v>12.2</v>
      </c>
      <c r="U64" s="64">
        <v>12.2</v>
      </c>
      <c r="V64" s="64">
        <v>12.2</v>
      </c>
      <c r="W64" s="64">
        <v>12.2</v>
      </c>
      <c r="X64" s="64">
        <v>12.2</v>
      </c>
      <c r="Y64" s="64">
        <v>12.2</v>
      </c>
      <c r="Z64" s="64">
        <v>12.2</v>
      </c>
      <c r="AA64" s="64">
        <v>4.0999999999999996</v>
      </c>
      <c r="AB64" s="64">
        <v>4.0999999999999996</v>
      </c>
      <c r="AC64" s="64">
        <v>4.0999999999999996</v>
      </c>
      <c r="AD64" s="64">
        <v>4.0999999999999996</v>
      </c>
      <c r="AE64" s="64">
        <v>4.0999999999999996</v>
      </c>
      <c r="AF64" s="64">
        <v>4.0999999999999996</v>
      </c>
      <c r="AG64" s="54">
        <v>14</v>
      </c>
      <c r="AH64" s="47">
        <f t="shared" si="2"/>
        <v>13.9</v>
      </c>
      <c r="AI64" s="48">
        <f t="shared" si="3"/>
        <v>4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/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/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322.14000000000004</v>
      </c>
      <c r="C68" s="60">
        <f>SUM(C55:C67)</f>
        <v>262.44</v>
      </c>
      <c r="D68" s="60">
        <f>SUM(D55:D67)</f>
        <v>287.84000000000003</v>
      </c>
      <c r="E68" s="60">
        <f t="shared" ref="E68:AG68" si="6">SUM(E55:E67)</f>
        <v>281.14000000000004</v>
      </c>
      <c r="F68" s="60">
        <f t="shared" si="6"/>
        <v>305.84000000000003</v>
      </c>
      <c r="G68" s="60">
        <f t="shared" si="6"/>
        <v>317.74</v>
      </c>
      <c r="H68" s="60">
        <f t="shared" si="6"/>
        <v>331.84000000000003</v>
      </c>
      <c r="I68" s="60">
        <f t="shared" si="6"/>
        <v>333.64000000000004</v>
      </c>
      <c r="J68" s="60">
        <f t="shared" si="6"/>
        <v>359.04</v>
      </c>
      <c r="K68" s="60">
        <f t="shared" si="6"/>
        <v>359.64</v>
      </c>
      <c r="L68" s="60">
        <f t="shared" si="6"/>
        <v>359.64</v>
      </c>
      <c r="M68" s="60">
        <f t="shared" si="6"/>
        <v>314.83999999999997</v>
      </c>
      <c r="N68" s="60">
        <f t="shared" si="6"/>
        <v>316.84000000000003</v>
      </c>
      <c r="O68" s="60">
        <f t="shared" si="6"/>
        <v>317.14</v>
      </c>
      <c r="P68" s="60">
        <f t="shared" si="6"/>
        <v>316.74</v>
      </c>
      <c r="Q68" s="60">
        <f t="shared" si="6"/>
        <v>3.54</v>
      </c>
      <c r="R68" s="60">
        <f t="shared" si="6"/>
        <v>316.74</v>
      </c>
      <c r="S68" s="60">
        <f t="shared" si="6"/>
        <v>317.84000000000003</v>
      </c>
      <c r="T68" s="60">
        <f t="shared" si="6"/>
        <v>321.04000000000002</v>
      </c>
      <c r="U68" s="60">
        <f t="shared" si="6"/>
        <v>392.74</v>
      </c>
      <c r="V68" s="60">
        <f t="shared" si="6"/>
        <v>387.34000000000003</v>
      </c>
      <c r="W68" s="60">
        <f t="shared" si="6"/>
        <v>327.14000000000004</v>
      </c>
      <c r="X68" s="60">
        <f t="shared" si="6"/>
        <v>321.84000000000003</v>
      </c>
      <c r="Y68" s="60">
        <f t="shared" si="6"/>
        <v>321.74</v>
      </c>
      <c r="Z68" s="60">
        <f t="shared" si="6"/>
        <v>320.64</v>
      </c>
      <c r="AA68" s="60">
        <f t="shared" si="6"/>
        <v>373.74</v>
      </c>
      <c r="AB68" s="60">
        <f t="shared" si="6"/>
        <v>362.54</v>
      </c>
      <c r="AC68" s="60">
        <f t="shared" si="6"/>
        <v>372.34000000000003</v>
      </c>
      <c r="AD68" s="60">
        <f t="shared" si="6"/>
        <v>372.34000000000003</v>
      </c>
      <c r="AE68" s="60">
        <f t="shared" si="6"/>
        <v>372.34000000000003</v>
      </c>
      <c r="AF68" s="60">
        <f t="shared" si="6"/>
        <v>349.64000000000004</v>
      </c>
      <c r="AG68" s="61">
        <f t="shared" si="6"/>
        <v>489.91</v>
      </c>
      <c r="AH68" s="47">
        <f t="shared" si="2"/>
        <v>392.74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14</v>
      </c>
      <c r="U69" s="45">
        <v>14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/>
      <c r="AC69" s="45"/>
      <c r="AD69" s="45"/>
      <c r="AE69" s="45"/>
      <c r="AF69" s="45"/>
      <c r="AG69" s="51">
        <v>60</v>
      </c>
      <c r="AH69" s="47">
        <f t="shared" si="2"/>
        <v>14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>
        <v>0</v>
      </c>
      <c r="F70" s="64">
        <v>0</v>
      </c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0</v>
      </c>
      <c r="T70" s="64">
        <v>5.6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/>
      <c r="AC70" s="64"/>
      <c r="AD70" s="64"/>
      <c r="AE70" s="64"/>
      <c r="AF70" s="64"/>
      <c r="AG70" s="54">
        <v>32</v>
      </c>
      <c r="AH70" s="47">
        <f t="shared" si="2"/>
        <v>5.6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>
        <v>0</v>
      </c>
      <c r="F71" s="66">
        <v>0</v>
      </c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0</v>
      </c>
      <c r="T71" s="66">
        <v>2.1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/>
      <c r="AC71" s="66"/>
      <c r="AD71" s="66"/>
      <c r="AE71" s="66"/>
      <c r="AF71" s="66"/>
      <c r="AG71" s="67">
        <v>14</v>
      </c>
      <c r="AH71" s="47">
        <f t="shared" si="2"/>
        <v>2.1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21.700000000000003</v>
      </c>
      <c r="U72" s="60">
        <f t="shared" si="7"/>
        <v>14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>Y69+Y70+Y71</f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21.700000000000003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-38.9</v>
      </c>
      <c r="C73" s="45">
        <v>-40.1</v>
      </c>
      <c r="D73" s="45">
        <v>-44.5</v>
      </c>
      <c r="E73" s="45">
        <v>-45.6</v>
      </c>
      <c r="F73" s="45">
        <v>-47</v>
      </c>
      <c r="G73" s="45">
        <v>-49.3</v>
      </c>
      <c r="H73" s="45">
        <v>-50</v>
      </c>
      <c r="I73" s="45">
        <v>-51.4</v>
      </c>
      <c r="J73" s="45">
        <v>-52.1</v>
      </c>
      <c r="K73" s="45">
        <v>-52</v>
      </c>
      <c r="L73" s="45">
        <v>-14.8</v>
      </c>
      <c r="M73" s="45">
        <v>-10</v>
      </c>
      <c r="N73" s="45">
        <v>-13.6</v>
      </c>
      <c r="O73" s="45">
        <v>-4.5</v>
      </c>
      <c r="P73" s="45">
        <v>11.7</v>
      </c>
      <c r="Q73" s="45"/>
      <c r="R73" s="45">
        <v>-13</v>
      </c>
      <c r="S73" s="45">
        <v>-14.5</v>
      </c>
      <c r="T73" s="45">
        <v>8.1</v>
      </c>
      <c r="U73" s="45">
        <v>-13.5</v>
      </c>
      <c r="V73" s="45">
        <v>-18.399999999999999</v>
      </c>
      <c r="W73" s="45">
        <v>-9</v>
      </c>
      <c r="X73" s="45">
        <v>-14.9</v>
      </c>
      <c r="Y73" s="45">
        <v>-14</v>
      </c>
      <c r="Z73" s="45">
        <v>0</v>
      </c>
      <c r="AA73" s="45">
        <v>5.8</v>
      </c>
      <c r="AB73" s="45">
        <v>6.9</v>
      </c>
      <c r="AC73" s="45">
        <v>9.4</v>
      </c>
      <c r="AD73" s="45">
        <v>-7.4</v>
      </c>
      <c r="AE73" s="45">
        <v>-15</v>
      </c>
      <c r="AF73" s="45">
        <v>-16</v>
      </c>
      <c r="AG73" s="51"/>
      <c r="AH73" s="47">
        <f t="shared" si="2"/>
        <v>11.7</v>
      </c>
      <c r="AI73" s="48">
        <f t="shared" si="3"/>
        <v>-52.1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/>
      <c r="X74" s="64"/>
      <c r="Y74" s="64"/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-395</v>
      </c>
      <c r="C75" s="64">
        <v>-398</v>
      </c>
      <c r="D75" s="64">
        <v>-431</v>
      </c>
      <c r="E75" s="64">
        <v>-409.5</v>
      </c>
      <c r="F75" s="64">
        <v>-420</v>
      </c>
      <c r="G75" s="64">
        <v>-480</v>
      </c>
      <c r="H75" s="64">
        <v>-485</v>
      </c>
      <c r="I75" s="64">
        <v>-489</v>
      </c>
      <c r="J75" s="64">
        <v>-487</v>
      </c>
      <c r="K75" s="64">
        <v>-469</v>
      </c>
      <c r="L75" s="64">
        <v>-488.4</v>
      </c>
      <c r="M75" s="64">
        <v>-496</v>
      </c>
      <c r="N75" s="64">
        <v>-486</v>
      </c>
      <c r="O75" s="64">
        <v>-491.5</v>
      </c>
      <c r="P75" s="64">
        <v>-453</v>
      </c>
      <c r="Q75" s="64"/>
      <c r="R75" s="64">
        <v>-456</v>
      </c>
      <c r="S75" s="64">
        <v>-425</v>
      </c>
      <c r="T75" s="64">
        <v>-456</v>
      </c>
      <c r="U75" s="64">
        <v>-490</v>
      </c>
      <c r="V75" s="64">
        <v>-516</v>
      </c>
      <c r="W75" s="64">
        <v>-495</v>
      </c>
      <c r="X75" s="64">
        <v>-462</v>
      </c>
      <c r="Y75" s="64">
        <v>-435</v>
      </c>
      <c r="Z75" s="64">
        <v>-374</v>
      </c>
      <c r="AA75" s="64">
        <v>-397</v>
      </c>
      <c r="AB75" s="64">
        <v>-408.7</v>
      </c>
      <c r="AC75" s="64">
        <v>-415</v>
      </c>
      <c r="AD75" s="64">
        <v>-420</v>
      </c>
      <c r="AE75" s="64">
        <v>-388</v>
      </c>
      <c r="AF75" s="64">
        <v>-401</v>
      </c>
      <c r="AG75" s="74"/>
      <c r="AH75" s="47">
        <f t="shared" si="2"/>
        <v>-374</v>
      </c>
      <c r="AI75" s="48">
        <f t="shared" si="3"/>
        <v>-516</v>
      </c>
      <c r="AK75" s="50"/>
    </row>
    <row r="76" spans="1:40" x14ac:dyDescent="0.25">
      <c r="A76" s="53" t="s">
        <v>84</v>
      </c>
      <c r="B76" s="75">
        <v>0</v>
      </c>
      <c r="C76" s="75">
        <v>0</v>
      </c>
      <c r="D76" s="75">
        <v>0</v>
      </c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76">
        <v>0</v>
      </c>
      <c r="C78" s="76">
        <v>0</v>
      </c>
      <c r="D78" s="76">
        <v>0</v>
      </c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76">
        <v>0</v>
      </c>
      <c r="C79" s="76">
        <v>0</v>
      </c>
      <c r="D79" s="76">
        <v>0</v>
      </c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>
        <v>0</v>
      </c>
      <c r="C80" s="76">
        <v>0</v>
      </c>
      <c r="D80" s="76">
        <v>0</v>
      </c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>
        <v>0</v>
      </c>
      <c r="C81" s="76">
        <v>0</v>
      </c>
      <c r="D81" s="76">
        <v>0</v>
      </c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>
        <v>0</v>
      </c>
      <c r="C82" s="76">
        <v>0</v>
      </c>
      <c r="D82" s="76">
        <v>0</v>
      </c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>
        <v>0</v>
      </c>
      <c r="C83" s="76">
        <v>0</v>
      </c>
      <c r="D83" s="76">
        <v>0</v>
      </c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>SUMIF(C73:C83,"&gt;0")</f>
        <v>0</v>
      </c>
      <c r="D84" s="60">
        <f>SUMIF(D73:D83,"&gt;0")</f>
        <v>0</v>
      </c>
      <c r="E84" s="60">
        <f t="shared" ref="E84:AF84" si="10">SUMIF(E73:E83,"&gt;0")</f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11.7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8.1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5.8</v>
      </c>
      <c r="AB84" s="60">
        <f t="shared" si="10"/>
        <v>6.9</v>
      </c>
      <c r="AC84" s="60">
        <f t="shared" si="10"/>
        <v>9.4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11.7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>B50+B54+B72+B68+B84+B88</f>
        <v>1884.14</v>
      </c>
      <c r="C89" s="94">
        <f>C50+C54+C72+C68+C84+C88</f>
        <v>1817.3400000000001</v>
      </c>
      <c r="D89" s="94">
        <f>D50+D54+D72+D68+D84+D88</f>
        <v>1845.8400000000001</v>
      </c>
      <c r="E89" s="94">
        <f t="shared" ref="E89:AG89" si="11">E50+E54+E72+E68+E84+E88</f>
        <v>1835.3400000000001</v>
      </c>
      <c r="F89" s="94">
        <f t="shared" si="11"/>
        <v>1802.3400000000001</v>
      </c>
      <c r="G89" s="94">
        <f t="shared" si="11"/>
        <v>1838.44</v>
      </c>
      <c r="H89" s="94">
        <f t="shared" si="11"/>
        <v>1853.8400000000001</v>
      </c>
      <c r="I89" s="94">
        <f t="shared" si="11"/>
        <v>1855.64</v>
      </c>
      <c r="J89" s="94">
        <f t="shared" si="11"/>
        <v>1884.04</v>
      </c>
      <c r="K89" s="94">
        <f t="shared" si="11"/>
        <v>1922.1399999999999</v>
      </c>
      <c r="L89" s="94">
        <f t="shared" si="11"/>
        <v>2018.54</v>
      </c>
      <c r="M89" s="94">
        <f t="shared" si="11"/>
        <v>1932.74</v>
      </c>
      <c r="N89" s="94">
        <f t="shared" si="11"/>
        <v>1944.54</v>
      </c>
      <c r="O89" s="94">
        <f t="shared" si="11"/>
        <v>1932.6399999999999</v>
      </c>
      <c r="P89" s="94">
        <f t="shared" si="11"/>
        <v>1906.44</v>
      </c>
      <c r="Q89" s="94">
        <f t="shared" si="11"/>
        <v>3.54</v>
      </c>
      <c r="R89" s="94">
        <f t="shared" si="11"/>
        <v>1894.74</v>
      </c>
      <c r="S89" s="94">
        <f t="shared" si="11"/>
        <v>1926.04</v>
      </c>
      <c r="T89" s="94">
        <f t="shared" si="11"/>
        <v>1982.74</v>
      </c>
      <c r="U89" s="94">
        <f t="shared" si="11"/>
        <v>1995.64</v>
      </c>
      <c r="V89" s="94">
        <f t="shared" si="11"/>
        <v>1976.2400000000002</v>
      </c>
      <c r="W89" s="94">
        <f t="shared" si="11"/>
        <v>1916.0400000000002</v>
      </c>
      <c r="X89" s="94">
        <f t="shared" si="11"/>
        <v>1951.44</v>
      </c>
      <c r="Y89" s="94">
        <f t="shared" si="11"/>
        <v>1946.9399999999998</v>
      </c>
      <c r="Z89" s="94">
        <f t="shared" si="11"/>
        <v>2005.1399999999999</v>
      </c>
      <c r="AA89" s="94">
        <f t="shared" si="11"/>
        <v>2087.04</v>
      </c>
      <c r="AB89" s="94">
        <f t="shared" si="11"/>
        <v>2081.2400000000002</v>
      </c>
      <c r="AC89" s="94">
        <f t="shared" si="11"/>
        <v>2036.0400000000004</v>
      </c>
      <c r="AD89" s="94">
        <f t="shared" si="11"/>
        <v>2026.6400000000003</v>
      </c>
      <c r="AE89" s="94">
        <f t="shared" si="11"/>
        <v>1963.1400000000003</v>
      </c>
      <c r="AF89" s="94">
        <f t="shared" si="11"/>
        <v>1936.4400000000003</v>
      </c>
      <c r="AG89" s="61">
        <f t="shared" si="11"/>
        <v>2111.5500000000002</v>
      </c>
      <c r="AH89" s="47">
        <f t="shared" si="8"/>
        <v>2087.04</v>
      </c>
      <c r="AI89" s="48">
        <f t="shared" si="9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>B89+B90</f>
        <v>1884.14</v>
      </c>
      <c r="C91" s="94">
        <f>C89+C90</f>
        <v>1817.3400000000001</v>
      </c>
      <c r="D91" s="94">
        <f>D89+D90</f>
        <v>1845.8400000000001</v>
      </c>
      <c r="E91" s="94">
        <f t="shared" ref="E91:AF91" si="12">E89+E90</f>
        <v>1835.3400000000001</v>
      </c>
      <c r="F91" s="94">
        <f t="shared" si="12"/>
        <v>1802.3400000000001</v>
      </c>
      <c r="G91" s="94">
        <f t="shared" si="12"/>
        <v>1838.44</v>
      </c>
      <c r="H91" s="94">
        <f t="shared" si="12"/>
        <v>1853.8400000000001</v>
      </c>
      <c r="I91" s="94">
        <f t="shared" si="12"/>
        <v>1855.64</v>
      </c>
      <c r="J91" s="94">
        <f t="shared" si="12"/>
        <v>1884.04</v>
      </c>
      <c r="K91" s="94">
        <f t="shared" si="12"/>
        <v>1922.1399999999999</v>
      </c>
      <c r="L91" s="94">
        <f t="shared" si="12"/>
        <v>2018.54</v>
      </c>
      <c r="M91" s="94">
        <f t="shared" si="12"/>
        <v>1932.74</v>
      </c>
      <c r="N91" s="94">
        <f t="shared" si="12"/>
        <v>1944.54</v>
      </c>
      <c r="O91" s="94">
        <f t="shared" si="12"/>
        <v>1932.6399999999999</v>
      </c>
      <c r="P91" s="94">
        <f t="shared" si="12"/>
        <v>1906.44</v>
      </c>
      <c r="Q91" s="94">
        <f t="shared" si="12"/>
        <v>3.54</v>
      </c>
      <c r="R91" s="94">
        <f t="shared" si="12"/>
        <v>1894.74</v>
      </c>
      <c r="S91" s="94">
        <f t="shared" si="12"/>
        <v>1926.04</v>
      </c>
      <c r="T91" s="94">
        <f t="shared" si="12"/>
        <v>1982.74</v>
      </c>
      <c r="U91" s="94">
        <f t="shared" si="12"/>
        <v>1995.64</v>
      </c>
      <c r="V91" s="94">
        <f t="shared" si="12"/>
        <v>1976.2400000000002</v>
      </c>
      <c r="W91" s="94">
        <f t="shared" si="12"/>
        <v>1916.0400000000002</v>
      </c>
      <c r="X91" s="94">
        <f t="shared" si="12"/>
        <v>1951.44</v>
      </c>
      <c r="Y91" s="94">
        <f t="shared" si="12"/>
        <v>1946.9399999999998</v>
      </c>
      <c r="Z91" s="94">
        <f t="shared" si="12"/>
        <v>2005.1399999999999</v>
      </c>
      <c r="AA91" s="94">
        <f t="shared" si="12"/>
        <v>2087.04</v>
      </c>
      <c r="AB91" s="94">
        <f t="shared" si="12"/>
        <v>2081.2400000000002</v>
      </c>
      <c r="AC91" s="94">
        <f t="shared" si="12"/>
        <v>2036.0400000000004</v>
      </c>
      <c r="AD91" s="94">
        <f t="shared" si="12"/>
        <v>2026.6400000000003</v>
      </c>
      <c r="AE91" s="94">
        <f t="shared" si="12"/>
        <v>1963.1400000000003</v>
      </c>
      <c r="AF91" s="94">
        <f t="shared" si="12"/>
        <v>1936.4400000000003</v>
      </c>
      <c r="AG91" s="87">
        <f>AG88+AG84+AG72+AG68+AG50+AG90</f>
        <v>1573.45</v>
      </c>
      <c r="AH91" s="47">
        <f t="shared" si="8"/>
        <v>2087.04</v>
      </c>
      <c r="AI91" s="48">
        <f t="shared" si="9"/>
        <v>3.54</v>
      </c>
    </row>
    <row r="92" spans="1:40" ht="15.75" thickBot="1" x14ac:dyDescent="0.3">
      <c r="A92" s="73" t="s">
        <v>103</v>
      </c>
      <c r="B92" s="94">
        <f>B91-B99</f>
        <v>1884.14</v>
      </c>
      <c r="C92" s="94">
        <f>C91-C99</f>
        <v>1817.3400000000001</v>
      </c>
      <c r="D92" s="94">
        <f>D91-D99</f>
        <v>1845.8400000000001</v>
      </c>
      <c r="E92" s="94">
        <f t="shared" ref="E92:AF92" si="13">E91-E99</f>
        <v>1835.3400000000001</v>
      </c>
      <c r="F92" s="94">
        <f t="shared" si="13"/>
        <v>1802.3400000000001</v>
      </c>
      <c r="G92" s="94">
        <f t="shared" si="13"/>
        <v>1838.44</v>
      </c>
      <c r="H92" s="94">
        <f t="shared" si="13"/>
        <v>1853.8400000000001</v>
      </c>
      <c r="I92" s="94">
        <f t="shared" si="13"/>
        <v>1855.64</v>
      </c>
      <c r="J92" s="94">
        <f t="shared" si="13"/>
        <v>1884.04</v>
      </c>
      <c r="K92" s="94">
        <f t="shared" si="13"/>
        <v>1922.1399999999999</v>
      </c>
      <c r="L92" s="94">
        <f t="shared" si="13"/>
        <v>2018.54</v>
      </c>
      <c r="M92" s="94">
        <f t="shared" si="13"/>
        <v>1932.74</v>
      </c>
      <c r="N92" s="94">
        <f t="shared" si="13"/>
        <v>1944.54</v>
      </c>
      <c r="O92" s="94">
        <f t="shared" si="13"/>
        <v>1932.6399999999999</v>
      </c>
      <c r="P92" s="94">
        <f t="shared" si="13"/>
        <v>1906.44</v>
      </c>
      <c r="Q92" s="94">
        <f t="shared" si="13"/>
        <v>3.54</v>
      </c>
      <c r="R92" s="94">
        <f t="shared" si="13"/>
        <v>1894.74</v>
      </c>
      <c r="S92" s="94">
        <f t="shared" si="13"/>
        <v>1926.04</v>
      </c>
      <c r="T92" s="94">
        <f t="shared" si="13"/>
        <v>1982.74</v>
      </c>
      <c r="U92" s="94">
        <f t="shared" si="13"/>
        <v>1995.64</v>
      </c>
      <c r="V92" s="94">
        <f t="shared" si="13"/>
        <v>1976.2400000000002</v>
      </c>
      <c r="W92" s="94">
        <f t="shared" si="13"/>
        <v>1916.0400000000002</v>
      </c>
      <c r="X92" s="94">
        <f t="shared" si="13"/>
        <v>1951.44</v>
      </c>
      <c r="Y92" s="94">
        <f t="shared" si="13"/>
        <v>1946.9399999999998</v>
      </c>
      <c r="Z92" s="94">
        <f t="shared" si="13"/>
        <v>2005.1399999999999</v>
      </c>
      <c r="AA92" s="94">
        <f t="shared" si="13"/>
        <v>2087.04</v>
      </c>
      <c r="AB92" s="94">
        <f t="shared" si="13"/>
        <v>2081.2400000000002</v>
      </c>
      <c r="AC92" s="94">
        <f t="shared" si="13"/>
        <v>2036.0400000000004</v>
      </c>
      <c r="AD92" s="94">
        <f t="shared" si="13"/>
        <v>2026.6400000000003</v>
      </c>
      <c r="AE92" s="94">
        <f t="shared" si="13"/>
        <v>1963.1400000000003</v>
      </c>
      <c r="AF92" s="94">
        <f t="shared" si="13"/>
        <v>1936.4400000000003</v>
      </c>
      <c r="AG92" s="87"/>
      <c r="AH92" s="47">
        <f t="shared" si="8"/>
        <v>2087.04</v>
      </c>
      <c r="AI92" s="48">
        <f t="shared" si="9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>B84-B99</f>
        <v>0</v>
      </c>
      <c r="C100" s="60">
        <f>C84-C99</f>
        <v>0</v>
      </c>
      <c r="D100" s="60">
        <f>D84-D99</f>
        <v>0</v>
      </c>
      <c r="E100" s="60">
        <f t="shared" ref="E100:AF100" si="14">E84-E99</f>
        <v>0</v>
      </c>
      <c r="F100" s="60">
        <f t="shared" si="14"/>
        <v>0</v>
      </c>
      <c r="G100" s="60">
        <f t="shared" si="14"/>
        <v>0</v>
      </c>
      <c r="H100" s="60">
        <f t="shared" si="14"/>
        <v>0</v>
      </c>
      <c r="I100" s="60">
        <f t="shared" si="14"/>
        <v>0</v>
      </c>
      <c r="J100" s="60">
        <f t="shared" si="14"/>
        <v>0</v>
      </c>
      <c r="K100" s="60">
        <f t="shared" si="14"/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0</v>
      </c>
      <c r="P100" s="60">
        <f t="shared" si="14"/>
        <v>11.7</v>
      </c>
      <c r="Q100" s="60">
        <f t="shared" si="14"/>
        <v>0</v>
      </c>
      <c r="R100" s="60">
        <f t="shared" si="14"/>
        <v>0</v>
      </c>
      <c r="S100" s="60">
        <f t="shared" si="14"/>
        <v>0</v>
      </c>
      <c r="T100" s="60">
        <f t="shared" si="14"/>
        <v>8.1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0</v>
      </c>
      <c r="Y100" s="60">
        <f t="shared" si="14"/>
        <v>0</v>
      </c>
      <c r="Z100" s="60">
        <f t="shared" si="14"/>
        <v>0</v>
      </c>
      <c r="AA100" s="60">
        <f t="shared" si="14"/>
        <v>5.8</v>
      </c>
      <c r="AB100" s="60">
        <f t="shared" si="14"/>
        <v>6.9</v>
      </c>
      <c r="AC100" s="60">
        <f t="shared" si="14"/>
        <v>9.4</v>
      </c>
      <c r="AD100" s="60">
        <f t="shared" si="14"/>
        <v>0</v>
      </c>
      <c r="AE100" s="60">
        <f t="shared" si="14"/>
        <v>0</v>
      </c>
      <c r="AF100" s="60">
        <f t="shared" si="14"/>
        <v>0</v>
      </c>
      <c r="AG100" s="87"/>
      <c r="AH100" s="47">
        <f t="shared" si="8"/>
        <v>11.7</v>
      </c>
      <c r="AI100" s="48">
        <f t="shared" si="9"/>
        <v>0</v>
      </c>
    </row>
    <row r="101" spans="1:37" x14ac:dyDescent="0.25">
      <c r="A101" s="99" t="s">
        <v>109</v>
      </c>
      <c r="B101" s="100">
        <v>50</v>
      </c>
      <c r="C101" s="100">
        <v>50.04</v>
      </c>
      <c r="D101" s="100">
        <v>49.99</v>
      </c>
      <c r="E101" s="100">
        <v>49.99</v>
      </c>
      <c r="F101" s="100">
        <v>50.018000000000001</v>
      </c>
      <c r="G101" s="100">
        <v>49.959000000000003</v>
      </c>
      <c r="H101" s="100">
        <v>49.98</v>
      </c>
      <c r="I101" s="100">
        <v>49.939</v>
      </c>
      <c r="J101" s="100">
        <v>50.03</v>
      </c>
      <c r="K101" s="100">
        <v>50.055999999999997</v>
      </c>
      <c r="L101" s="100">
        <v>50.018999999999998</v>
      </c>
      <c r="M101" s="100">
        <v>49.997</v>
      </c>
      <c r="N101" s="100">
        <v>49.982999999999997</v>
      </c>
      <c r="O101" s="100">
        <v>49.97</v>
      </c>
      <c r="P101" s="100">
        <v>49.94</v>
      </c>
      <c r="Q101" s="100"/>
      <c r="R101" s="100">
        <v>50.045999999999999</v>
      </c>
      <c r="S101" s="100">
        <v>49.932000000000002</v>
      </c>
      <c r="T101" s="100">
        <v>50.009</v>
      </c>
      <c r="U101" s="100">
        <v>49.915999999999997</v>
      </c>
      <c r="V101" s="100">
        <v>50.015000000000001</v>
      </c>
      <c r="W101" s="100">
        <v>50.015000000000001</v>
      </c>
      <c r="X101" s="100">
        <v>49.963000000000001</v>
      </c>
      <c r="Y101" s="100">
        <v>49.944000000000003</v>
      </c>
      <c r="Z101" s="100">
        <v>49.984000000000002</v>
      </c>
      <c r="AA101" s="100">
        <v>50.036999999999999</v>
      </c>
      <c r="AB101" s="100">
        <v>50.06</v>
      </c>
      <c r="AC101" s="100">
        <v>49.993000000000002</v>
      </c>
      <c r="AD101" s="100">
        <v>49.993000000000002</v>
      </c>
      <c r="AE101" s="100">
        <v>50.052</v>
      </c>
      <c r="AF101" s="100">
        <v>50.055999999999997</v>
      </c>
      <c r="AG101" s="101"/>
      <c r="AH101" s="47">
        <f t="shared" si="8"/>
        <v>50.06</v>
      </c>
      <c r="AI101" s="48">
        <f t="shared" si="9"/>
        <v>49.915999999999997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128.19999999999999</v>
      </c>
      <c r="C103" s="64">
        <v>129.1</v>
      </c>
      <c r="D103" s="64">
        <v>129.80000000000001</v>
      </c>
      <c r="E103" s="64">
        <v>130</v>
      </c>
      <c r="F103" s="64">
        <v>130</v>
      </c>
      <c r="G103" s="64">
        <v>130</v>
      </c>
      <c r="H103" s="64">
        <v>130.69999999999999</v>
      </c>
      <c r="I103" s="64">
        <v>130</v>
      </c>
      <c r="J103" s="64">
        <v>128.69999999999999</v>
      </c>
      <c r="K103" s="64">
        <v>128.19999999999999</v>
      </c>
      <c r="L103" s="64">
        <v>127.5</v>
      </c>
      <c r="M103" s="64">
        <v>125.9</v>
      </c>
      <c r="N103" s="64">
        <v>125.9</v>
      </c>
      <c r="O103" s="64">
        <v>127.8</v>
      </c>
      <c r="P103" s="64">
        <v>127.9</v>
      </c>
      <c r="Q103" s="64"/>
      <c r="R103" s="64">
        <v>125.7</v>
      </c>
      <c r="S103" s="64">
        <v>126.5</v>
      </c>
      <c r="T103" s="64">
        <v>126.3</v>
      </c>
      <c r="U103" s="64">
        <v>126.7</v>
      </c>
      <c r="V103" s="64">
        <v>128</v>
      </c>
      <c r="W103" s="64">
        <v>128</v>
      </c>
      <c r="X103" s="64">
        <v>126.5</v>
      </c>
      <c r="Y103" s="64">
        <v>125.1</v>
      </c>
      <c r="Z103" s="64">
        <v>124.2</v>
      </c>
      <c r="AA103" s="64">
        <v>127</v>
      </c>
      <c r="AB103" s="64">
        <v>127.9</v>
      </c>
      <c r="AC103" s="64">
        <v>128.5</v>
      </c>
      <c r="AD103" s="64">
        <v>128.5</v>
      </c>
      <c r="AE103" s="64">
        <v>130</v>
      </c>
      <c r="AF103" s="64">
        <v>130.6</v>
      </c>
      <c r="AG103" s="103"/>
      <c r="AH103" s="47">
        <f t="shared" si="8"/>
        <v>130.69999999999999</v>
      </c>
      <c r="AI103" s="48">
        <f t="shared" si="9"/>
        <v>124.2</v>
      </c>
    </row>
    <row r="104" spans="1:37" x14ac:dyDescent="0.25">
      <c r="A104" s="102" t="s">
        <v>112</v>
      </c>
      <c r="B104" s="64">
        <v>128.80000000000001</v>
      </c>
      <c r="C104" s="64">
        <v>128.9</v>
      </c>
      <c r="D104" s="64">
        <v>130.6</v>
      </c>
      <c r="E104" s="64">
        <v>130.9</v>
      </c>
      <c r="F104" s="64">
        <v>129.1</v>
      </c>
      <c r="G104" s="64">
        <v>130.80000000000001</v>
      </c>
      <c r="H104" s="64">
        <v>130.6</v>
      </c>
      <c r="I104" s="64">
        <v>129.4</v>
      </c>
      <c r="J104" s="64">
        <v>128</v>
      </c>
      <c r="K104" s="64">
        <v>128.4</v>
      </c>
      <c r="L104" s="64">
        <v>129.9</v>
      </c>
      <c r="M104" s="64">
        <v>128.5</v>
      </c>
      <c r="N104" s="64">
        <v>128.5</v>
      </c>
      <c r="O104" s="64">
        <v>127</v>
      </c>
      <c r="P104" s="64">
        <v>127.8</v>
      </c>
      <c r="Q104" s="64"/>
      <c r="R104" s="64">
        <v>126.3</v>
      </c>
      <c r="S104" s="64">
        <v>128.5</v>
      </c>
      <c r="T104" s="64">
        <v>128.4</v>
      </c>
      <c r="U104" s="64">
        <v>130</v>
      </c>
      <c r="V104" s="64">
        <v>130.5</v>
      </c>
      <c r="W104" s="64">
        <v>130.5</v>
      </c>
      <c r="X104" s="64">
        <v>129.5</v>
      </c>
      <c r="Y104" s="64">
        <v>127.7</v>
      </c>
      <c r="Z104" s="64">
        <v>129</v>
      </c>
      <c r="AA104" s="64">
        <v>130</v>
      </c>
      <c r="AB104" s="64">
        <v>128</v>
      </c>
      <c r="AC104" s="64">
        <v>129.69999999999999</v>
      </c>
      <c r="AD104" s="64">
        <v>129.69999999999999</v>
      </c>
      <c r="AE104" s="64">
        <v>128.30000000000001</v>
      </c>
      <c r="AF104" s="64">
        <v>129.30000000000001</v>
      </c>
      <c r="AG104" s="103"/>
      <c r="AH104" s="47">
        <f t="shared" si="8"/>
        <v>130.9</v>
      </c>
      <c r="AI104" s="48">
        <f t="shared" si="9"/>
        <v>126.3</v>
      </c>
    </row>
    <row r="105" spans="1:37" x14ac:dyDescent="0.25">
      <c r="A105" s="104" t="s">
        <v>113</v>
      </c>
      <c r="B105" s="64">
        <v>132.6</v>
      </c>
      <c r="C105" s="64">
        <v>131.69999999999999</v>
      </c>
      <c r="D105" s="64">
        <v>133.4</v>
      </c>
      <c r="E105" s="64">
        <v>133.1</v>
      </c>
      <c r="F105" s="64">
        <v>132.19999999999999</v>
      </c>
      <c r="G105" s="64">
        <v>134.1</v>
      </c>
      <c r="H105" s="64">
        <v>131.19999999999999</v>
      </c>
      <c r="I105" s="64">
        <v>130.69999999999999</v>
      </c>
      <c r="J105" s="64">
        <v>129</v>
      </c>
      <c r="K105" s="64">
        <v>132</v>
      </c>
      <c r="L105" s="64">
        <v>133.6</v>
      </c>
      <c r="M105" s="64">
        <v>131.69999999999999</v>
      </c>
      <c r="N105" s="64">
        <v>131.69999999999999</v>
      </c>
      <c r="O105" s="64">
        <v>129.5</v>
      </c>
      <c r="P105" s="64">
        <v>129.80000000000001</v>
      </c>
      <c r="Q105" s="64"/>
      <c r="R105" s="64"/>
      <c r="S105" s="64"/>
      <c r="T105" s="64"/>
      <c r="U105" s="64"/>
      <c r="V105" s="64"/>
      <c r="W105" s="64"/>
      <c r="X105" s="64">
        <v>129.5</v>
      </c>
      <c r="Y105" s="64">
        <v>129.5</v>
      </c>
      <c r="Z105" s="64">
        <v>131.19999999999999</v>
      </c>
      <c r="AA105" s="64">
        <v>132.30000000000001</v>
      </c>
      <c r="AB105" s="64">
        <v>130.6</v>
      </c>
      <c r="AC105" s="64">
        <v>132.30000000000001</v>
      </c>
      <c r="AD105" s="64">
        <v>132.30000000000001</v>
      </c>
      <c r="AE105" s="64">
        <v>132.69999999999999</v>
      </c>
      <c r="AF105" s="64">
        <v>131.9</v>
      </c>
      <c r="AG105" s="103"/>
      <c r="AH105" s="47">
        <f t="shared" si="8"/>
        <v>134.1</v>
      </c>
      <c r="AI105" s="48">
        <f t="shared" si="9"/>
        <v>129</v>
      </c>
    </row>
    <row r="106" spans="1:37" x14ac:dyDescent="0.25">
      <c r="A106" s="104" t="s">
        <v>114</v>
      </c>
      <c r="B106" s="105">
        <v>130.6</v>
      </c>
      <c r="C106" s="105">
        <v>131.30000000000001</v>
      </c>
      <c r="D106" s="105">
        <v>132.4</v>
      </c>
      <c r="E106" s="105">
        <v>133.19999999999999</v>
      </c>
      <c r="F106" s="105">
        <v>133.30000000000001</v>
      </c>
      <c r="G106" s="105">
        <v>134.19999999999999</v>
      </c>
      <c r="H106" s="105">
        <v>132.9</v>
      </c>
      <c r="I106" s="105">
        <v>132.69999999999999</v>
      </c>
      <c r="J106" s="105">
        <v>131.5</v>
      </c>
      <c r="K106" s="105">
        <v>131</v>
      </c>
      <c r="L106" s="105">
        <v>133.6</v>
      </c>
      <c r="M106" s="105">
        <v>132.69999999999999</v>
      </c>
      <c r="N106" s="105">
        <v>132.69999999999999</v>
      </c>
      <c r="O106" s="105">
        <v>133.5</v>
      </c>
      <c r="P106" s="105">
        <v>133.69999999999999</v>
      </c>
      <c r="Q106" s="105"/>
      <c r="R106" s="105">
        <v>132.4</v>
      </c>
      <c r="S106" s="105">
        <v>132.4</v>
      </c>
      <c r="T106" s="105">
        <v>133.69999999999999</v>
      </c>
      <c r="U106" s="105">
        <v>132.4</v>
      </c>
      <c r="V106" s="105">
        <v>133.5</v>
      </c>
      <c r="W106" s="105">
        <v>133.5</v>
      </c>
      <c r="X106" s="105">
        <v>131.4</v>
      </c>
      <c r="Y106" s="105">
        <v>132.30000000000001</v>
      </c>
      <c r="Z106" s="105">
        <v>132.19999999999999</v>
      </c>
      <c r="AA106" s="105">
        <v>133.6</v>
      </c>
      <c r="AB106" s="105">
        <v>132</v>
      </c>
      <c r="AC106" s="105">
        <v>130.4</v>
      </c>
      <c r="AD106" s="105">
        <v>130.4</v>
      </c>
      <c r="AE106" s="105">
        <v>133.30000000000001</v>
      </c>
      <c r="AF106" s="105">
        <v>130.9</v>
      </c>
      <c r="AG106" s="106"/>
      <c r="AH106" s="47">
        <f t="shared" si="8"/>
        <v>134.19999999999999</v>
      </c>
      <c r="AI106" s="48">
        <f t="shared" si="9"/>
        <v>130.4</v>
      </c>
    </row>
    <row r="107" spans="1:37" x14ac:dyDescent="0.25">
      <c r="A107" s="102" t="s">
        <v>115</v>
      </c>
      <c r="B107" s="64">
        <v>126.6</v>
      </c>
      <c r="C107" s="64">
        <v>128</v>
      </c>
      <c r="D107" s="64">
        <v>131</v>
      </c>
      <c r="E107" s="64">
        <v>133</v>
      </c>
      <c r="F107" s="64">
        <v>135.5</v>
      </c>
      <c r="G107" s="64">
        <v>134</v>
      </c>
      <c r="H107" s="64">
        <v>135.1</v>
      </c>
      <c r="I107" s="64">
        <v>132.5</v>
      </c>
      <c r="J107" s="64">
        <v>132.5</v>
      </c>
      <c r="K107" s="64">
        <v>128.4</v>
      </c>
      <c r="L107" s="64">
        <v>132.69999999999999</v>
      </c>
      <c r="M107" s="64">
        <v>127.8</v>
      </c>
      <c r="N107" s="64">
        <v>127.8</v>
      </c>
      <c r="O107" s="64">
        <v>130</v>
      </c>
      <c r="P107" s="64">
        <v>131.5</v>
      </c>
      <c r="Q107" s="64"/>
      <c r="R107" s="64">
        <v>129.19999999999999</v>
      </c>
      <c r="S107" s="64">
        <v>129.80000000000001</v>
      </c>
      <c r="T107" s="64">
        <v>125.5</v>
      </c>
      <c r="U107" s="64">
        <v>132.1</v>
      </c>
      <c r="V107" s="64">
        <v>134.1</v>
      </c>
      <c r="W107" s="64">
        <v>134.1</v>
      </c>
      <c r="X107" s="64">
        <v>132.4</v>
      </c>
      <c r="Y107" s="64">
        <v>136.19999999999999</v>
      </c>
      <c r="Z107" s="64">
        <v>127.7</v>
      </c>
      <c r="AA107" s="64">
        <v>133.1</v>
      </c>
      <c r="AB107" s="64">
        <v>133</v>
      </c>
      <c r="AC107" s="64">
        <v>128.69999999999999</v>
      </c>
      <c r="AD107" s="64">
        <v>128.69999999999999</v>
      </c>
      <c r="AE107" s="64">
        <v>134.80000000000001</v>
      </c>
      <c r="AF107" s="64">
        <v>128.19999999999999</v>
      </c>
      <c r="AG107" s="103"/>
      <c r="AH107" s="47">
        <f t="shared" si="8"/>
        <v>136.19999999999999</v>
      </c>
      <c r="AI107" s="48">
        <f t="shared" si="9"/>
        <v>125.5</v>
      </c>
    </row>
    <row r="108" spans="1:37" ht="15.75" thickBot="1" x14ac:dyDescent="0.3">
      <c r="A108" s="102" t="s">
        <v>116</v>
      </c>
      <c r="B108" s="91">
        <v>64.2</v>
      </c>
      <c r="C108" s="91">
        <v>64.599999999999994</v>
      </c>
      <c r="D108" s="91">
        <v>65.2</v>
      </c>
      <c r="E108" s="91">
        <v>65.099999999999994</v>
      </c>
      <c r="F108" s="91">
        <v>65.3</v>
      </c>
      <c r="G108" s="91">
        <v>66</v>
      </c>
      <c r="H108" s="91">
        <v>65.5</v>
      </c>
      <c r="I108" s="91">
        <v>64.900000000000006</v>
      </c>
      <c r="J108" s="91">
        <v>64.3</v>
      </c>
      <c r="K108" s="91">
        <v>64.599999999999994</v>
      </c>
      <c r="L108" s="91">
        <v>64.3</v>
      </c>
      <c r="M108" s="91">
        <v>63.6</v>
      </c>
      <c r="N108" s="91">
        <v>63.6</v>
      </c>
      <c r="O108" s="91">
        <v>64</v>
      </c>
      <c r="P108" s="91">
        <v>63.9</v>
      </c>
      <c r="Q108" s="91"/>
      <c r="R108" s="91">
        <v>62.6</v>
      </c>
      <c r="S108" s="91">
        <v>62.8</v>
      </c>
      <c r="T108" s="91">
        <v>63.2</v>
      </c>
      <c r="U108" s="91">
        <v>63.7</v>
      </c>
      <c r="V108" s="91">
        <v>64</v>
      </c>
      <c r="W108" s="91">
        <v>64</v>
      </c>
      <c r="X108" s="91">
        <v>63.2</v>
      </c>
      <c r="Y108" s="91">
        <v>62.6</v>
      </c>
      <c r="Z108" s="91">
        <v>62.4</v>
      </c>
      <c r="AA108" s="91">
        <v>64.099999999999994</v>
      </c>
      <c r="AB108" s="91">
        <v>64.900000000000006</v>
      </c>
      <c r="AC108" s="91">
        <v>64.7</v>
      </c>
      <c r="AD108" s="91">
        <v>64.7</v>
      </c>
      <c r="AE108" s="91">
        <v>65.2</v>
      </c>
      <c r="AF108" s="91">
        <v>65.5</v>
      </c>
      <c r="AG108" s="107"/>
      <c r="AH108" s="47">
        <f t="shared" si="8"/>
        <v>66</v>
      </c>
      <c r="AI108" s="48">
        <f t="shared" si="9"/>
        <v>62.4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48.3</v>
      </c>
      <c r="C110" s="110">
        <f t="shared" ref="C110:O110" si="15">SUM(C20,C26,C29:C30,C58,C60:C61,C63,C65,C111:C115,C138,C144,C150,C159,C161,C173,C180,C183:C184,C191,C193,C195,C199:C201,C203:C205,C210,C216:C217,C219:C221,C229,C234)</f>
        <v>37.04000000000002</v>
      </c>
      <c r="D110" s="110">
        <f>SUM(D20,D26,D29:D30,D58,D60:D61,D63,D65,D111:D115,D138,D144,D150,D159,D161,D173,D180,D183:D184,D191,D193,D195,D199:D201,D203:D205,D210,D216:D217,D219:D221,D229,D234)</f>
        <v>31.640000000000011</v>
      </c>
      <c r="E110" s="110">
        <f t="shared" si="15"/>
        <v>20.24000000000002</v>
      </c>
      <c r="F110" s="110">
        <f t="shared" si="15"/>
        <v>63.340000000000011</v>
      </c>
      <c r="G110" s="110">
        <f t="shared" si="15"/>
        <v>90.340000000000032</v>
      </c>
      <c r="H110" s="110">
        <f t="shared" si="15"/>
        <v>110.03999999999999</v>
      </c>
      <c r="I110" s="110">
        <f t="shared" si="15"/>
        <v>131.23999999999998</v>
      </c>
      <c r="J110" s="110">
        <f t="shared" si="15"/>
        <v>193.54</v>
      </c>
      <c r="K110" s="110">
        <f t="shared" si="15"/>
        <v>225.34</v>
      </c>
      <c r="L110" s="110">
        <f t="shared" si="15"/>
        <v>229.14000000000001</v>
      </c>
      <c r="M110" s="110">
        <f t="shared" si="15"/>
        <v>215.94000000000005</v>
      </c>
      <c r="N110" s="110">
        <f t="shared" si="15"/>
        <v>195.44</v>
      </c>
      <c r="O110" s="110">
        <f t="shared" si="15"/>
        <v>521.04</v>
      </c>
      <c r="P110" s="110">
        <v>42</v>
      </c>
      <c r="Q110" s="110">
        <f t="shared" ref="Q110:AF110" si="16">SUM(Q20,Q26,Q29:Q30,Q58,Q60:Q61,Q63,Q65,Q111:Q115,Q138,Q144,Q150,Q159,Q161,Q173,Q180,Q183:Q184,Q191,Q193,Q195,Q199:Q201,Q203:Q205,Q210,Q216:Q217,Q219:Q221,Q229,Q234)</f>
        <v>0</v>
      </c>
      <c r="R110" s="110">
        <f t="shared" si="16"/>
        <v>175.2</v>
      </c>
      <c r="S110" s="110">
        <f t="shared" si="16"/>
        <v>208.60000000000002</v>
      </c>
      <c r="T110" s="110">
        <f t="shared" si="16"/>
        <v>187.49999999999997</v>
      </c>
      <c r="U110" s="110">
        <f t="shared" si="16"/>
        <v>193.10000000000005</v>
      </c>
      <c r="V110" s="110">
        <f t="shared" si="16"/>
        <v>232.4</v>
      </c>
      <c r="W110" s="110">
        <f t="shared" si="16"/>
        <v>79.8</v>
      </c>
      <c r="X110" s="110">
        <f t="shared" si="16"/>
        <v>223.60000000000002</v>
      </c>
      <c r="Y110" s="110">
        <f t="shared" si="16"/>
        <v>241.6</v>
      </c>
      <c r="Z110" s="110">
        <f t="shared" si="16"/>
        <v>278.79999999999995</v>
      </c>
      <c r="AA110" s="110">
        <f t="shared" si="16"/>
        <v>261</v>
      </c>
      <c r="AB110" s="110">
        <f t="shared" si="16"/>
        <v>245.6</v>
      </c>
      <c r="AC110" s="110">
        <f t="shared" si="16"/>
        <v>187.20000000000002</v>
      </c>
      <c r="AD110" s="110"/>
      <c r="AE110" s="110">
        <f t="shared" si="16"/>
        <v>86.9</v>
      </c>
      <c r="AF110" s="110">
        <f t="shared" si="16"/>
        <v>85.5</v>
      </c>
      <c r="AG110" s="111"/>
      <c r="AH110" s="47">
        <f t="shared" si="8"/>
        <v>521.04</v>
      </c>
      <c r="AI110" s="48">
        <f t="shared" si="9"/>
        <v>0</v>
      </c>
    </row>
    <row r="111" spans="1:37" x14ac:dyDescent="0.25">
      <c r="A111" s="99" t="s">
        <v>119</v>
      </c>
      <c r="B111" s="112">
        <v>16.3</v>
      </c>
      <c r="C111" s="112">
        <v>18.100000000000001</v>
      </c>
      <c r="D111" s="112">
        <v>19.600000000000001</v>
      </c>
      <c r="E111" s="112">
        <v>18.2</v>
      </c>
      <c r="F111" s="112">
        <v>23.8</v>
      </c>
      <c r="G111" s="112">
        <v>26.8</v>
      </c>
      <c r="H111" s="112">
        <v>30.1</v>
      </c>
      <c r="I111" s="112">
        <v>29</v>
      </c>
      <c r="J111" s="112">
        <v>39.5</v>
      </c>
      <c r="K111" s="112">
        <v>42.3</v>
      </c>
      <c r="L111" s="112">
        <v>44.2</v>
      </c>
      <c r="M111" s="112">
        <v>39.700000000000003</v>
      </c>
      <c r="N111" s="112">
        <v>41</v>
      </c>
      <c r="O111" s="112">
        <v>385.8</v>
      </c>
      <c r="P111" s="112">
        <v>30</v>
      </c>
      <c r="Q111" s="112"/>
      <c r="R111" s="112">
        <v>30.7</v>
      </c>
      <c r="S111" s="112">
        <v>37.9</v>
      </c>
      <c r="T111" s="112">
        <v>40.799999999999997</v>
      </c>
      <c r="U111" s="112">
        <v>45.5</v>
      </c>
      <c r="V111" s="112">
        <v>45.5</v>
      </c>
      <c r="W111" s="112"/>
      <c r="X111" s="112">
        <v>50.5</v>
      </c>
      <c r="Y111" s="112">
        <v>53.7</v>
      </c>
      <c r="Z111" s="112">
        <v>58</v>
      </c>
      <c r="AA111" s="112">
        <v>49.2</v>
      </c>
      <c r="AB111" s="112">
        <v>51.9</v>
      </c>
      <c r="AC111" s="112">
        <v>45.9</v>
      </c>
      <c r="AD111" s="112">
        <v>45.9</v>
      </c>
      <c r="AE111" s="112">
        <v>24.4</v>
      </c>
      <c r="AF111" s="112">
        <v>23.2</v>
      </c>
      <c r="AG111" s="113">
        <v>75</v>
      </c>
      <c r="AH111" s="47">
        <f t="shared" si="8"/>
        <v>385.8</v>
      </c>
      <c r="AI111" s="48">
        <f t="shared" si="9"/>
        <v>16.3</v>
      </c>
    </row>
    <row r="112" spans="1:37" x14ac:dyDescent="0.25">
      <c r="A112" s="102" t="s">
        <v>120</v>
      </c>
      <c r="B112" s="114">
        <v>20.100000000000001</v>
      </c>
      <c r="C112" s="114">
        <v>23.4</v>
      </c>
      <c r="D112" s="114">
        <v>25.6</v>
      </c>
      <c r="E112" s="114">
        <v>22.2</v>
      </c>
      <c r="F112" s="114">
        <v>30.4</v>
      </c>
      <c r="G112" s="114">
        <v>32.700000000000003</v>
      </c>
      <c r="H112" s="114">
        <v>37.1</v>
      </c>
      <c r="I112" s="114">
        <v>34.700000000000003</v>
      </c>
      <c r="J112" s="114">
        <v>48.8</v>
      </c>
      <c r="K112" s="114">
        <v>54.8</v>
      </c>
      <c r="L112" s="114">
        <v>61.2</v>
      </c>
      <c r="M112" s="114">
        <v>50.9</v>
      </c>
      <c r="N112" s="114">
        <v>49</v>
      </c>
      <c r="O112" s="114">
        <v>48.3</v>
      </c>
      <c r="P112" s="114">
        <v>31.9</v>
      </c>
      <c r="Q112" s="114"/>
      <c r="R112" s="114">
        <v>33.299999999999997</v>
      </c>
      <c r="S112" s="114">
        <v>45.8</v>
      </c>
      <c r="T112" s="114">
        <v>51.7</v>
      </c>
      <c r="U112" s="114">
        <v>60.8</v>
      </c>
      <c r="V112" s="114">
        <v>60.6</v>
      </c>
      <c r="W112" s="114"/>
      <c r="X112" s="114">
        <v>71</v>
      </c>
      <c r="Y112" s="114">
        <v>73.5</v>
      </c>
      <c r="Z112" s="114">
        <v>82.2</v>
      </c>
      <c r="AA112" s="114">
        <v>71.7</v>
      </c>
      <c r="AB112" s="114">
        <v>75.2</v>
      </c>
      <c r="AC112" s="114">
        <v>64.2</v>
      </c>
      <c r="AD112" s="114">
        <v>64.2</v>
      </c>
      <c r="AE112" s="114">
        <v>33.1</v>
      </c>
      <c r="AF112" s="114">
        <v>30.3</v>
      </c>
      <c r="AG112" s="113">
        <v>240</v>
      </c>
      <c r="AH112" s="47">
        <f t="shared" si="8"/>
        <v>82.2</v>
      </c>
      <c r="AI112" s="48">
        <f t="shared" si="9"/>
        <v>20.100000000000001</v>
      </c>
    </row>
    <row r="113" spans="1:37" x14ac:dyDescent="0.25">
      <c r="A113" s="102" t="s">
        <v>121</v>
      </c>
      <c r="B113" s="114">
        <f>-59.8-63.4</f>
        <v>-123.19999999999999</v>
      </c>
      <c r="C113" s="114">
        <f>-48.6-51.5</f>
        <v>-100.1</v>
      </c>
      <c r="D113" s="114">
        <f>-62.4-65.8</f>
        <v>-128.19999999999999</v>
      </c>
      <c r="E113" s="114">
        <f>-54-57</f>
        <v>-111</v>
      </c>
      <c r="F113" s="114">
        <f>-56-59</f>
        <v>-115</v>
      </c>
      <c r="G113" s="114">
        <f>-46-49</f>
        <v>-95</v>
      </c>
      <c r="H113" s="114">
        <f>-47-50</f>
        <v>-97</v>
      </c>
      <c r="I113" s="114">
        <f>-32-33.6</f>
        <v>-65.599999999999994</v>
      </c>
      <c r="J113" s="114">
        <f>-25-27</f>
        <v>-52</v>
      </c>
      <c r="K113" s="114">
        <f>-31-33</f>
        <v>-64</v>
      </c>
      <c r="L113" s="114">
        <f>-39-41</f>
        <v>-80</v>
      </c>
      <c r="M113" s="114">
        <v>-84</v>
      </c>
      <c r="N113" s="114">
        <v>-86</v>
      </c>
      <c r="O113" s="114">
        <v>-96</v>
      </c>
      <c r="P113" s="114">
        <v>-67</v>
      </c>
      <c r="Q113" s="114"/>
      <c r="R113" s="114">
        <v>-72</v>
      </c>
      <c r="S113" s="114">
        <v>-73</v>
      </c>
      <c r="T113" s="114">
        <v>-109</v>
      </c>
      <c r="U113" s="114">
        <v>-103</v>
      </c>
      <c r="V113" s="114">
        <v>-50</v>
      </c>
      <c r="W113" s="114"/>
      <c r="X113" s="114">
        <v>-60.2</v>
      </c>
      <c r="Y113" s="114">
        <v>-47</v>
      </c>
      <c r="Z113" s="114">
        <v>-48</v>
      </c>
      <c r="AA113" s="114">
        <v>-101</v>
      </c>
      <c r="AB113" s="114">
        <v>-97.4</v>
      </c>
      <c r="AC113" s="114">
        <v>-100</v>
      </c>
      <c r="AD113" s="114">
        <v>-100</v>
      </c>
      <c r="AE113" s="114">
        <v>-125</v>
      </c>
      <c r="AF113" s="114">
        <v>-122</v>
      </c>
      <c r="AG113" s="113">
        <v>240</v>
      </c>
      <c r="AH113" s="47">
        <f t="shared" si="8"/>
        <v>-47</v>
      </c>
      <c r="AI113" s="48">
        <f t="shared" si="9"/>
        <v>-128.19999999999999</v>
      </c>
    </row>
    <row r="114" spans="1:37" x14ac:dyDescent="0.25">
      <c r="A114" s="102" t="s">
        <v>122</v>
      </c>
      <c r="B114" s="114">
        <v>-6.1</v>
      </c>
      <c r="C114" s="114">
        <v>-2.8</v>
      </c>
      <c r="D114" s="114">
        <v>-5.4</v>
      </c>
      <c r="E114" s="114">
        <v>-4.4000000000000004</v>
      </c>
      <c r="F114" s="114">
        <v>-5.9</v>
      </c>
      <c r="G114" s="114">
        <v>-2.2000000000000002</v>
      </c>
      <c r="H114" s="114">
        <v>1.8</v>
      </c>
      <c r="I114" s="114">
        <v>-6.7</v>
      </c>
      <c r="J114" s="114">
        <v>-3.9</v>
      </c>
      <c r="K114" s="114">
        <v>12.6</v>
      </c>
      <c r="L114" s="114">
        <v>8.6</v>
      </c>
      <c r="M114" s="114">
        <v>2.2999999999999998</v>
      </c>
      <c r="N114" s="114">
        <v>4</v>
      </c>
      <c r="O114" s="114">
        <v>5.6</v>
      </c>
      <c r="P114" s="114">
        <v>8.5</v>
      </c>
      <c r="Q114" s="114"/>
      <c r="R114" s="114">
        <v>11.1</v>
      </c>
      <c r="S114" s="114">
        <v>12.4</v>
      </c>
      <c r="T114" s="114">
        <v>20</v>
      </c>
      <c r="U114" s="114">
        <v>11.4</v>
      </c>
      <c r="V114" s="114">
        <v>3.3</v>
      </c>
      <c r="W114" s="114"/>
      <c r="X114" s="114">
        <v>11.5</v>
      </c>
      <c r="Y114" s="114">
        <v>13.6</v>
      </c>
      <c r="Z114" s="114">
        <v>15.6</v>
      </c>
      <c r="AA114" s="114">
        <v>9.4</v>
      </c>
      <c r="AB114" s="114">
        <v>8.6</v>
      </c>
      <c r="AC114" s="114">
        <v>7.4</v>
      </c>
      <c r="AD114" s="114">
        <v>7.4</v>
      </c>
      <c r="AE114" s="114">
        <v>0</v>
      </c>
      <c r="AF114" s="114">
        <v>-1.4</v>
      </c>
      <c r="AG114" s="113">
        <v>60</v>
      </c>
      <c r="AH114" s="47">
        <f t="shared" si="8"/>
        <v>20</v>
      </c>
      <c r="AI114" s="48">
        <f t="shared" si="9"/>
        <v>-6.7</v>
      </c>
    </row>
    <row r="115" spans="1:37" x14ac:dyDescent="0.25">
      <c r="A115" s="115" t="s">
        <v>123</v>
      </c>
      <c r="B115" s="116">
        <v>24.8</v>
      </c>
      <c r="C115" s="116">
        <v>24.8</v>
      </c>
      <c r="D115" s="116">
        <v>24.8</v>
      </c>
      <c r="E115" s="116">
        <v>0</v>
      </c>
      <c r="F115" s="116">
        <v>24.5</v>
      </c>
      <c r="G115" s="116">
        <v>24.2</v>
      </c>
      <c r="H115" s="116">
        <v>24.2</v>
      </c>
      <c r="I115" s="116">
        <v>24.2</v>
      </c>
      <c r="J115" s="116">
        <v>22.3</v>
      </c>
      <c r="K115" s="116">
        <v>30.8</v>
      </c>
      <c r="L115" s="116">
        <v>31.3</v>
      </c>
      <c r="M115" s="116">
        <v>43.2</v>
      </c>
      <c r="N115" s="116">
        <v>32.6</v>
      </c>
      <c r="O115" s="116">
        <v>32.6</v>
      </c>
      <c r="P115" s="116">
        <v>32.200000000000003</v>
      </c>
      <c r="Q115" s="116"/>
      <c r="R115" s="116">
        <v>33.299999999999997</v>
      </c>
      <c r="S115" s="116">
        <v>32.6</v>
      </c>
      <c r="T115" s="116">
        <v>33.1</v>
      </c>
      <c r="U115" s="116">
        <v>33</v>
      </c>
      <c r="V115" s="116">
        <v>33</v>
      </c>
      <c r="W115" s="116"/>
      <c r="X115" s="116">
        <v>67</v>
      </c>
      <c r="Y115" s="116">
        <v>64</v>
      </c>
      <c r="Z115" s="116">
        <v>73.5</v>
      </c>
      <c r="AA115" s="116">
        <v>73.3</v>
      </c>
      <c r="AB115" s="116">
        <v>48.9</v>
      </c>
      <c r="AC115" s="116">
        <v>26.3</v>
      </c>
      <c r="AD115" s="116">
        <v>26.3</v>
      </c>
      <c r="AE115" s="116">
        <v>26</v>
      </c>
      <c r="AF115" s="116">
        <v>27</v>
      </c>
      <c r="AG115" s="117">
        <v>120</v>
      </c>
      <c r="AH115" s="47">
        <f t="shared" si="8"/>
        <v>73.5</v>
      </c>
      <c r="AI115" s="48">
        <f t="shared" si="9"/>
        <v>0</v>
      </c>
    </row>
    <row r="116" spans="1:37" x14ac:dyDescent="0.25">
      <c r="A116" s="115" t="s">
        <v>124</v>
      </c>
      <c r="B116" s="116">
        <v>48.7</v>
      </c>
      <c r="C116" s="116">
        <v>52.9</v>
      </c>
      <c r="D116" s="116">
        <v>30.9</v>
      </c>
      <c r="E116" s="116">
        <v>57.1</v>
      </c>
      <c r="F116" s="116">
        <v>44</v>
      </c>
      <c r="G116" s="116">
        <v>42.2</v>
      </c>
      <c r="H116" s="116">
        <v>42.2</v>
      </c>
      <c r="I116" s="116">
        <v>57.6</v>
      </c>
      <c r="J116" s="116">
        <v>57</v>
      </c>
      <c r="K116" s="116">
        <v>57</v>
      </c>
      <c r="L116" s="116">
        <v>30</v>
      </c>
      <c r="M116" s="116">
        <v>35.1</v>
      </c>
      <c r="N116" s="116">
        <v>34</v>
      </c>
      <c r="O116" s="116">
        <v>30.5</v>
      </c>
      <c r="P116" s="116">
        <v>48.5</v>
      </c>
      <c r="Q116" s="116"/>
      <c r="R116" s="116">
        <v>50.3</v>
      </c>
      <c r="S116" s="116">
        <v>56.4</v>
      </c>
      <c r="T116" s="116">
        <v>20.7</v>
      </c>
      <c r="U116" s="116">
        <v>15.6</v>
      </c>
      <c r="V116" s="116">
        <v>35.299999999999997</v>
      </c>
      <c r="W116" s="116"/>
      <c r="X116" s="116">
        <v>29.3</v>
      </c>
      <c r="Y116" s="116">
        <v>46.2</v>
      </c>
      <c r="Z116" s="116">
        <v>51.5</v>
      </c>
      <c r="AA116" s="116">
        <v>36.5</v>
      </c>
      <c r="AB116" s="116">
        <v>32.4</v>
      </c>
      <c r="AC116" s="116">
        <v>38.200000000000003</v>
      </c>
      <c r="AD116" s="116">
        <v>38.200000000000003</v>
      </c>
      <c r="AE116" s="116">
        <v>32</v>
      </c>
      <c r="AF116" s="116">
        <v>41</v>
      </c>
      <c r="AG116" s="117"/>
      <c r="AH116" s="47">
        <f t="shared" si="8"/>
        <v>57.6</v>
      </c>
      <c r="AI116" s="48">
        <f t="shared" si="9"/>
        <v>15.6</v>
      </c>
    </row>
    <row r="117" spans="1:37" x14ac:dyDescent="0.25">
      <c r="A117" s="115" t="s">
        <v>125</v>
      </c>
      <c r="B117" s="116">
        <v>-10.6</v>
      </c>
      <c r="C117" s="116">
        <v>-12</v>
      </c>
      <c r="D117" s="116">
        <v>-23.9</v>
      </c>
      <c r="E117" s="116">
        <v>-5.5</v>
      </c>
      <c r="F117" s="116">
        <v>-6.6</v>
      </c>
      <c r="G117" s="116">
        <v>-17.2</v>
      </c>
      <c r="H117" s="116">
        <v>-17.2</v>
      </c>
      <c r="I117" s="116">
        <v>53.9</v>
      </c>
      <c r="J117" s="116">
        <v>-32</v>
      </c>
      <c r="K117" s="116">
        <v>-32</v>
      </c>
      <c r="L117" s="116">
        <v>-15.6</v>
      </c>
      <c r="M117" s="116">
        <v>-26.3</v>
      </c>
      <c r="N117" s="116">
        <v>-44</v>
      </c>
      <c r="O117" s="116">
        <v>-41.9</v>
      </c>
      <c r="P117" s="116">
        <v>-46.5</v>
      </c>
      <c r="Q117" s="116"/>
      <c r="R117" s="116">
        <v>-41.5</v>
      </c>
      <c r="S117" s="116">
        <v>-35.700000000000003</v>
      </c>
      <c r="T117" s="116">
        <v>-47.3</v>
      </c>
      <c r="U117" s="116">
        <v>-36.799999999999997</v>
      </c>
      <c r="V117" s="116">
        <v>-35</v>
      </c>
      <c r="W117" s="116"/>
      <c r="X117" s="116">
        <v>31.6</v>
      </c>
      <c r="Y117" s="116">
        <v>29.7</v>
      </c>
      <c r="Z117" s="116">
        <v>-20.3</v>
      </c>
      <c r="AA117" s="116">
        <v>-10.7</v>
      </c>
      <c r="AB117" s="116">
        <v>-18.8</v>
      </c>
      <c r="AC117" s="116">
        <v>-22</v>
      </c>
      <c r="AD117" s="116">
        <v>-22</v>
      </c>
      <c r="AE117" s="116">
        <v>-10</v>
      </c>
      <c r="AF117" s="116">
        <v>-8</v>
      </c>
      <c r="AG117" s="118"/>
      <c r="AH117" s="47">
        <f t="shared" si="8"/>
        <v>53.9</v>
      </c>
      <c r="AI117" s="48">
        <f t="shared" si="9"/>
        <v>-47.3</v>
      </c>
    </row>
    <row r="118" spans="1:37" x14ac:dyDescent="0.25">
      <c r="A118" s="119" t="s">
        <v>126</v>
      </c>
      <c r="B118" s="105">
        <v>41.4</v>
      </c>
      <c r="C118" s="105">
        <v>49.4</v>
      </c>
      <c r="D118" s="105">
        <v>50.8</v>
      </c>
      <c r="E118" s="105">
        <v>58.7</v>
      </c>
      <c r="F118" s="105">
        <v>64.599999999999994</v>
      </c>
      <c r="G118" s="105">
        <v>65.8</v>
      </c>
      <c r="H118" s="105">
        <v>65.8</v>
      </c>
      <c r="I118" s="105">
        <v>62.4</v>
      </c>
      <c r="J118" s="105">
        <v>55.6</v>
      </c>
      <c r="K118" s="105">
        <v>55.6</v>
      </c>
      <c r="L118" s="105">
        <v>50.2</v>
      </c>
      <c r="M118" s="105">
        <v>50.3</v>
      </c>
      <c r="N118" s="105">
        <v>50.7</v>
      </c>
      <c r="O118" s="105">
        <v>53.5</v>
      </c>
      <c r="P118" s="105">
        <v>52</v>
      </c>
      <c r="Q118" s="105"/>
      <c r="R118" s="105">
        <v>42.4</v>
      </c>
      <c r="S118" s="105">
        <v>52.7</v>
      </c>
      <c r="T118" s="105">
        <v>48.3</v>
      </c>
      <c r="U118" s="105">
        <v>44.9</v>
      </c>
      <c r="V118" s="105">
        <v>40.9</v>
      </c>
      <c r="W118" s="105"/>
      <c r="X118" s="105">
        <v>37.4</v>
      </c>
      <c r="Y118" s="105">
        <v>34.5</v>
      </c>
      <c r="Z118" s="105">
        <v>21.6</v>
      </c>
      <c r="AA118" s="105">
        <v>22.7</v>
      </c>
      <c r="AB118" s="105">
        <v>23.6</v>
      </c>
      <c r="AC118" s="105">
        <v>39</v>
      </c>
      <c r="AD118" s="105">
        <v>39</v>
      </c>
      <c r="AE118" s="105">
        <v>51</v>
      </c>
      <c r="AF118" s="105">
        <v>56</v>
      </c>
      <c r="AG118" s="118"/>
      <c r="AH118" s="47">
        <f t="shared" si="8"/>
        <v>65.8</v>
      </c>
      <c r="AI118" s="48">
        <f t="shared" si="9"/>
        <v>21.6</v>
      </c>
    </row>
    <row r="119" spans="1:37" x14ac:dyDescent="0.25">
      <c r="A119" s="120" t="s">
        <v>127</v>
      </c>
      <c r="B119" s="105">
        <v>81.5</v>
      </c>
      <c r="C119" s="105">
        <v>83.1</v>
      </c>
      <c r="D119" s="105">
        <v>91.2</v>
      </c>
      <c r="E119" s="105">
        <v>85.2</v>
      </c>
      <c r="F119" s="105">
        <v>85.5</v>
      </c>
      <c r="G119" s="105">
        <v>74.7</v>
      </c>
      <c r="H119" s="105">
        <v>74.7</v>
      </c>
      <c r="I119" s="105">
        <v>53.5</v>
      </c>
      <c r="J119" s="105">
        <v>65</v>
      </c>
      <c r="K119" s="105">
        <v>65</v>
      </c>
      <c r="L119" s="105">
        <v>71.8</v>
      </c>
      <c r="M119" s="105">
        <v>67.8</v>
      </c>
      <c r="N119" s="105">
        <v>72</v>
      </c>
      <c r="O119" s="105">
        <v>78</v>
      </c>
      <c r="P119" s="105">
        <v>56.7</v>
      </c>
      <c r="Q119" s="105"/>
      <c r="R119" s="105">
        <v>58.2</v>
      </c>
      <c r="S119" s="105">
        <v>67</v>
      </c>
      <c r="T119" s="105">
        <v>89.3</v>
      </c>
      <c r="U119" s="105">
        <v>85</v>
      </c>
      <c r="V119" s="105">
        <v>50.1</v>
      </c>
      <c r="W119" s="105"/>
      <c r="X119" s="105">
        <v>59.8</v>
      </c>
      <c r="Y119" s="105">
        <v>51.3</v>
      </c>
      <c r="Z119" s="105">
        <v>54.4</v>
      </c>
      <c r="AA119" s="105">
        <v>81.900000000000006</v>
      </c>
      <c r="AB119" s="105">
        <v>91</v>
      </c>
      <c r="AC119" s="105">
        <v>84</v>
      </c>
      <c r="AD119" s="105">
        <v>84</v>
      </c>
      <c r="AE119" s="105">
        <v>89</v>
      </c>
      <c r="AF119" s="105">
        <v>86</v>
      </c>
      <c r="AG119" s="118"/>
      <c r="AH119" s="47">
        <f t="shared" si="8"/>
        <v>91.2</v>
      </c>
      <c r="AI119" s="48">
        <f t="shared" si="9"/>
        <v>50.1</v>
      </c>
    </row>
    <row r="120" spans="1:37" ht="15.75" thickBot="1" x14ac:dyDescent="0.3">
      <c r="A120" s="119" t="s">
        <v>128</v>
      </c>
      <c r="B120" s="105">
        <v>16.5</v>
      </c>
      <c r="C120" s="105">
        <v>4.5999999999999996</v>
      </c>
      <c r="D120" s="105">
        <v>-0.5</v>
      </c>
      <c r="E120" s="105">
        <v>-5.2</v>
      </c>
      <c r="F120" s="105">
        <v>-9.8000000000000007</v>
      </c>
      <c r="G120" s="105">
        <v>-17.399999999999999</v>
      </c>
      <c r="H120" s="105">
        <v>-17.399999999999999</v>
      </c>
      <c r="I120" s="105">
        <v>-17.399999999999999</v>
      </c>
      <c r="J120" s="105">
        <v>-15</v>
      </c>
      <c r="K120" s="105">
        <v>-15</v>
      </c>
      <c r="L120" s="105">
        <v>-3.7</v>
      </c>
      <c r="M120" s="105">
        <v>-8.3000000000000007</v>
      </c>
      <c r="N120" s="105">
        <v>-3.9</v>
      </c>
      <c r="O120" s="105">
        <v>-0.9</v>
      </c>
      <c r="P120" s="105">
        <v>-6.69</v>
      </c>
      <c r="Q120" s="105"/>
      <c r="R120" s="105">
        <v>2.7</v>
      </c>
      <c r="S120" s="105">
        <v>14.7</v>
      </c>
      <c r="T120" s="105">
        <v>-9.4</v>
      </c>
      <c r="U120" s="105">
        <v>1.7</v>
      </c>
      <c r="V120" s="105">
        <v>4.5</v>
      </c>
      <c r="W120" s="105"/>
      <c r="X120" s="105">
        <v>-4</v>
      </c>
      <c r="Y120" s="105">
        <v>13.5</v>
      </c>
      <c r="Z120" s="105">
        <v>24.8</v>
      </c>
      <c r="AA120" s="105">
        <v>23.3</v>
      </c>
      <c r="AB120" s="105">
        <v>22.6</v>
      </c>
      <c r="AC120" s="105">
        <v>18</v>
      </c>
      <c r="AD120" s="105">
        <v>18</v>
      </c>
      <c r="AE120" s="105">
        <v>18</v>
      </c>
      <c r="AF120" s="105">
        <v>7</v>
      </c>
      <c r="AG120" s="118"/>
      <c r="AH120" s="47">
        <f t="shared" si="8"/>
        <v>24.8</v>
      </c>
      <c r="AI120" s="48">
        <f t="shared" si="9"/>
        <v>-17.399999999999999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7">SUM(B122:B226)</f>
        <v>0</v>
      </c>
      <c r="C227" s="136">
        <f t="shared" si="17"/>
        <v>0</v>
      </c>
      <c r="D227" s="136">
        <f t="shared" si="17"/>
        <v>0</v>
      </c>
      <c r="E227" s="136">
        <f t="shared" si="17"/>
        <v>0</v>
      </c>
      <c r="F227" s="136">
        <f t="shared" si="17"/>
        <v>0</v>
      </c>
      <c r="G227" s="136">
        <f t="shared" si="17"/>
        <v>0</v>
      </c>
      <c r="H227" s="136">
        <f t="shared" si="17"/>
        <v>0</v>
      </c>
      <c r="I227" s="136">
        <f t="shared" si="17"/>
        <v>0</v>
      </c>
      <c r="J227" s="136">
        <f t="shared" si="17"/>
        <v>0</v>
      </c>
      <c r="K227" s="136">
        <f t="shared" si="17"/>
        <v>0</v>
      </c>
      <c r="L227" s="136">
        <f t="shared" si="17"/>
        <v>0</v>
      </c>
      <c r="M227" s="136">
        <f t="shared" si="17"/>
        <v>0</v>
      </c>
      <c r="N227" s="136">
        <f t="shared" si="17"/>
        <v>0</v>
      </c>
      <c r="O227" s="136">
        <f t="shared" si="17"/>
        <v>0</v>
      </c>
      <c r="P227" s="136">
        <f t="shared" si="17"/>
        <v>0</v>
      </c>
      <c r="Q227" s="136">
        <f t="shared" si="17"/>
        <v>0</v>
      </c>
      <c r="R227" s="136">
        <f t="shared" si="17"/>
        <v>0</v>
      </c>
      <c r="S227" s="136">
        <f t="shared" si="17"/>
        <v>0</v>
      </c>
      <c r="T227" s="136">
        <f t="shared" si="17"/>
        <v>0</v>
      </c>
      <c r="U227" s="136">
        <f t="shared" si="17"/>
        <v>0</v>
      </c>
      <c r="V227" s="136">
        <f t="shared" si="17"/>
        <v>0</v>
      </c>
      <c r="W227" s="136">
        <f t="shared" si="17"/>
        <v>0</v>
      </c>
      <c r="X227" s="136">
        <f t="shared" si="17"/>
        <v>0</v>
      </c>
      <c r="Y227" s="136">
        <f t="shared" si="17"/>
        <v>0</v>
      </c>
      <c r="Z227" s="136">
        <f t="shared" si="17"/>
        <v>0</v>
      </c>
      <c r="AA227" s="136">
        <f t="shared" si="17"/>
        <v>0</v>
      </c>
      <c r="AB227" s="136">
        <f t="shared" si="17"/>
        <v>0</v>
      </c>
      <c r="AC227" s="136">
        <f t="shared" si="17"/>
        <v>0</v>
      </c>
      <c r="AD227" s="136">
        <f t="shared" si="17"/>
        <v>0</v>
      </c>
      <c r="AE227" s="136">
        <f t="shared" si="17"/>
        <v>0</v>
      </c>
      <c r="AF227" s="137">
        <f t="shared" si="17"/>
        <v>0</v>
      </c>
      <c r="AG227" s="138">
        <f t="shared" si="1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8">AF229</f>
        <v>0</v>
      </c>
      <c r="C229" s="140">
        <v>0.3</v>
      </c>
      <c r="D229" s="140">
        <f t="shared" ref="D229:P234" si="19">C229</f>
        <v>0.3</v>
      </c>
      <c r="E229" s="140">
        <f t="shared" si="19"/>
        <v>0.3</v>
      </c>
      <c r="F229" s="140">
        <f t="shared" si="19"/>
        <v>0.3</v>
      </c>
      <c r="G229" s="140">
        <f t="shared" si="19"/>
        <v>0.3</v>
      </c>
      <c r="H229" s="140">
        <f t="shared" si="19"/>
        <v>0.3</v>
      </c>
      <c r="I229" s="140">
        <f t="shared" si="19"/>
        <v>0.3</v>
      </c>
      <c r="J229" s="140">
        <f t="shared" si="19"/>
        <v>0.3</v>
      </c>
      <c r="K229" s="140">
        <f t="shared" si="19"/>
        <v>0.3</v>
      </c>
      <c r="L229" s="140">
        <f t="shared" si="19"/>
        <v>0.3</v>
      </c>
      <c r="M229" s="140">
        <f t="shared" si="19"/>
        <v>0.3</v>
      </c>
      <c r="N229" s="140">
        <f t="shared" si="19"/>
        <v>0.3</v>
      </c>
      <c r="O229" s="140">
        <f t="shared" si="19"/>
        <v>0.3</v>
      </c>
      <c r="P229" s="140">
        <f t="shared" si="1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8"/>
        <v>0</v>
      </c>
      <c r="C230" s="128">
        <v>0.4</v>
      </c>
      <c r="D230" s="128">
        <f t="shared" si="19"/>
        <v>0.4</v>
      </c>
      <c r="E230" s="128">
        <f t="shared" si="19"/>
        <v>0.4</v>
      </c>
      <c r="F230" s="128">
        <f t="shared" si="19"/>
        <v>0.4</v>
      </c>
      <c r="G230" s="128">
        <f t="shared" si="19"/>
        <v>0.4</v>
      </c>
      <c r="H230" s="128">
        <f t="shared" si="19"/>
        <v>0.4</v>
      </c>
      <c r="I230" s="128">
        <f t="shared" si="19"/>
        <v>0.4</v>
      </c>
      <c r="J230" s="128">
        <f t="shared" si="19"/>
        <v>0.4</v>
      </c>
      <c r="K230" s="128">
        <f t="shared" si="19"/>
        <v>0.4</v>
      </c>
      <c r="L230" s="128">
        <f t="shared" si="19"/>
        <v>0.4</v>
      </c>
      <c r="M230" s="128">
        <f t="shared" si="19"/>
        <v>0.4</v>
      </c>
      <c r="N230" s="128">
        <f t="shared" si="19"/>
        <v>0.4</v>
      </c>
      <c r="O230" s="128">
        <f t="shared" si="19"/>
        <v>0.4</v>
      </c>
      <c r="P230" s="128">
        <f t="shared" si="1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8"/>
        <v>0</v>
      </c>
      <c r="C231" s="128">
        <v>1.5</v>
      </c>
      <c r="D231" s="128">
        <f t="shared" si="19"/>
        <v>1.5</v>
      </c>
      <c r="E231" s="128">
        <f t="shared" si="19"/>
        <v>1.5</v>
      </c>
      <c r="F231" s="128">
        <f t="shared" si="19"/>
        <v>1.5</v>
      </c>
      <c r="G231" s="128">
        <f t="shared" si="19"/>
        <v>1.5</v>
      </c>
      <c r="H231" s="128">
        <f t="shared" si="1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9"/>
        <v>123.21900000000009</v>
      </c>
      <c r="K231" s="128">
        <f t="shared" ca="1" si="19"/>
        <v>123.21900000000009</v>
      </c>
      <c r="L231" s="128">
        <f t="shared" ca="1" si="19"/>
        <v>123.21900000000009</v>
      </c>
      <c r="M231" s="128">
        <f t="shared" ca="1" si="19"/>
        <v>119.19900000000008</v>
      </c>
      <c r="N231" s="128">
        <f t="shared" ca="1" si="19"/>
        <v>119.19900000000008</v>
      </c>
      <c r="O231" s="128">
        <f t="shared" ca="1" si="19"/>
        <v>119.19900000000008</v>
      </c>
      <c r="P231" s="128">
        <f t="shared" ca="1" si="1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8"/>
        <v>0</v>
      </c>
      <c r="C232" s="128">
        <v>0.3</v>
      </c>
      <c r="D232" s="128">
        <f t="shared" si="19"/>
        <v>0.3</v>
      </c>
      <c r="E232" s="128">
        <f t="shared" si="19"/>
        <v>0.3</v>
      </c>
      <c r="F232" s="128">
        <f t="shared" si="19"/>
        <v>0.3</v>
      </c>
      <c r="G232" s="128">
        <f t="shared" si="19"/>
        <v>0.3</v>
      </c>
      <c r="H232" s="128">
        <f t="shared" si="19"/>
        <v>0.3</v>
      </c>
      <c r="I232" s="128">
        <f t="shared" si="19"/>
        <v>0.3</v>
      </c>
      <c r="J232" s="128">
        <f t="shared" si="19"/>
        <v>0.3</v>
      </c>
      <c r="K232" s="128">
        <f t="shared" si="19"/>
        <v>0.3</v>
      </c>
      <c r="L232" s="128">
        <f t="shared" si="19"/>
        <v>0.3</v>
      </c>
      <c r="M232" s="128">
        <f t="shared" si="19"/>
        <v>0.3</v>
      </c>
      <c r="N232" s="128">
        <f t="shared" si="19"/>
        <v>0.3</v>
      </c>
      <c r="O232" s="128">
        <f t="shared" si="19"/>
        <v>0.3</v>
      </c>
      <c r="P232" s="128">
        <f t="shared" si="1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8"/>
        <v>0</v>
      </c>
      <c r="C233" s="128">
        <v>0.4</v>
      </c>
      <c r="D233" s="128">
        <f t="shared" si="19"/>
        <v>0.4</v>
      </c>
      <c r="E233" s="128">
        <f t="shared" si="19"/>
        <v>0.4</v>
      </c>
      <c r="F233" s="128">
        <f t="shared" si="19"/>
        <v>0.4</v>
      </c>
      <c r="G233" s="128">
        <f t="shared" si="19"/>
        <v>0.4</v>
      </c>
      <c r="H233" s="128">
        <f t="shared" si="19"/>
        <v>0.4</v>
      </c>
      <c r="I233" s="128">
        <f t="shared" si="19"/>
        <v>0.4</v>
      </c>
      <c r="J233" s="128">
        <f t="shared" si="19"/>
        <v>0.4</v>
      </c>
      <c r="K233" s="128">
        <f t="shared" si="19"/>
        <v>0.4</v>
      </c>
      <c r="L233" s="128">
        <f t="shared" si="19"/>
        <v>0.4</v>
      </c>
      <c r="M233" s="128">
        <f t="shared" si="19"/>
        <v>0.4</v>
      </c>
      <c r="N233" s="128">
        <f t="shared" si="19"/>
        <v>0.4</v>
      </c>
      <c r="O233" s="128">
        <f t="shared" si="19"/>
        <v>0.4</v>
      </c>
      <c r="P233" s="128">
        <f t="shared" si="1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8"/>
        <v>0</v>
      </c>
      <c r="C234" s="132">
        <v>0.64</v>
      </c>
      <c r="D234" s="132">
        <f t="shared" si="19"/>
        <v>0.64</v>
      </c>
      <c r="E234" s="132">
        <f t="shared" si="19"/>
        <v>0.64</v>
      </c>
      <c r="F234" s="132">
        <f t="shared" si="19"/>
        <v>0.64</v>
      </c>
      <c r="G234" s="132">
        <f t="shared" si="19"/>
        <v>0.64</v>
      </c>
      <c r="H234" s="132">
        <f t="shared" si="19"/>
        <v>0.64</v>
      </c>
      <c r="I234" s="132">
        <f t="shared" si="19"/>
        <v>0.64</v>
      </c>
      <c r="J234" s="132">
        <f t="shared" si="19"/>
        <v>0.64</v>
      </c>
      <c r="K234" s="132">
        <f t="shared" si="19"/>
        <v>0.64</v>
      </c>
      <c r="L234" s="132">
        <f t="shared" si="19"/>
        <v>0.64</v>
      </c>
      <c r="M234" s="132">
        <f t="shared" si="19"/>
        <v>0.64</v>
      </c>
      <c r="N234" s="132">
        <f t="shared" si="19"/>
        <v>0.64</v>
      </c>
      <c r="O234" s="132">
        <f t="shared" si="19"/>
        <v>0.64</v>
      </c>
      <c r="P234" s="132">
        <f t="shared" si="1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0">SUM(B229:B234)</f>
        <v>0</v>
      </c>
      <c r="C235" s="136">
        <f t="shared" si="20"/>
        <v>3.54</v>
      </c>
      <c r="D235" s="136">
        <f t="shared" si="20"/>
        <v>3.54</v>
      </c>
      <c r="E235" s="136">
        <f t="shared" si="20"/>
        <v>3.54</v>
      </c>
      <c r="F235" s="136">
        <f t="shared" si="20"/>
        <v>3.54</v>
      </c>
      <c r="G235" s="136">
        <f t="shared" si="20"/>
        <v>3.54</v>
      </c>
      <c r="H235" s="136">
        <f t="shared" si="20"/>
        <v>3.54</v>
      </c>
      <c r="I235" s="136">
        <f t="shared" ca="1" si="20"/>
        <v>121.23900000000009</v>
      </c>
      <c r="J235" s="136">
        <f t="shared" ca="1" si="20"/>
        <v>121.23900000000009</v>
      </c>
      <c r="K235" s="136">
        <f t="shared" ca="1" si="20"/>
        <v>121.23900000000009</v>
      </c>
      <c r="L235" s="136">
        <f t="shared" ca="1" si="20"/>
        <v>125.2590000000001</v>
      </c>
      <c r="M235" s="136">
        <f t="shared" ca="1" si="20"/>
        <v>121.23900000000009</v>
      </c>
      <c r="N235" s="136">
        <f t="shared" ca="1" si="20"/>
        <v>121.23900000000009</v>
      </c>
      <c r="O235" s="136">
        <f t="shared" ca="1" si="20"/>
        <v>121.23900000000009</v>
      </c>
      <c r="P235" s="136">
        <f t="shared" ca="1" si="20"/>
        <v>121.23900000000009</v>
      </c>
      <c r="Q235" s="136">
        <f t="shared" si="20"/>
        <v>0</v>
      </c>
      <c r="R235" s="136">
        <f t="shared" si="20"/>
        <v>0</v>
      </c>
      <c r="S235" s="136">
        <f t="shared" si="20"/>
        <v>0</v>
      </c>
      <c r="T235" s="136">
        <f t="shared" si="20"/>
        <v>0</v>
      </c>
      <c r="U235" s="136">
        <f t="shared" si="20"/>
        <v>0</v>
      </c>
      <c r="V235" s="136">
        <f t="shared" si="20"/>
        <v>0</v>
      </c>
      <c r="W235" s="136">
        <f t="shared" si="20"/>
        <v>0</v>
      </c>
      <c r="X235" s="136">
        <f t="shared" si="20"/>
        <v>0</v>
      </c>
      <c r="Y235" s="136">
        <f t="shared" si="20"/>
        <v>0</v>
      </c>
      <c r="Z235" s="136">
        <f t="shared" si="20"/>
        <v>0</v>
      </c>
      <c r="AA235" s="136">
        <f t="shared" si="20"/>
        <v>0</v>
      </c>
      <c r="AB235" s="136">
        <f t="shared" si="20"/>
        <v>0</v>
      </c>
      <c r="AC235" s="136">
        <f t="shared" si="20"/>
        <v>0</v>
      </c>
      <c r="AD235" s="136">
        <f t="shared" si="20"/>
        <v>0</v>
      </c>
      <c r="AE235" s="136">
        <f t="shared" si="20"/>
        <v>0</v>
      </c>
      <c r="AF235" s="136">
        <f t="shared" si="20"/>
        <v>0</v>
      </c>
      <c r="AG235" s="145">
        <f t="shared" si="2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2018.54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1">B91</f>
        <v>1884.14</v>
      </c>
      <c r="U249" s="170">
        <f t="shared" si="21"/>
        <v>1817.3400000000001</v>
      </c>
      <c r="V249" s="170">
        <f t="shared" si="21"/>
        <v>1845.8400000000001</v>
      </c>
      <c r="W249" s="170">
        <f t="shared" si="21"/>
        <v>1835.3400000000001</v>
      </c>
      <c r="X249" s="170">
        <f t="shared" si="21"/>
        <v>1802.3400000000001</v>
      </c>
      <c r="Y249" s="170">
        <f t="shared" si="21"/>
        <v>1838.44</v>
      </c>
      <c r="Z249" s="170">
        <f t="shared" si="21"/>
        <v>1853.8400000000001</v>
      </c>
      <c r="AA249" s="170">
        <f t="shared" si="21"/>
        <v>1855.64</v>
      </c>
      <c r="AB249" s="170">
        <f t="shared" si="21"/>
        <v>1884.04</v>
      </c>
      <c r="AC249" s="170">
        <f t="shared" si="21"/>
        <v>1922.1399999999999</v>
      </c>
      <c r="AD249" s="170">
        <f t="shared" si="21"/>
        <v>2018.54</v>
      </c>
      <c r="AE249" s="170">
        <f t="shared" si="21"/>
        <v>1932.74</v>
      </c>
      <c r="AF249" s="170">
        <f t="shared" si="21"/>
        <v>1944.54</v>
      </c>
      <c r="AG249" s="170">
        <f t="shared" si="21"/>
        <v>1932.6399999999999</v>
      </c>
      <c r="AH249" s="170">
        <f t="shared" si="21"/>
        <v>1906.44</v>
      </c>
      <c r="AI249" s="170">
        <f t="shared" si="21"/>
        <v>3.54</v>
      </c>
      <c r="AJ249" s="170">
        <f t="shared" si="21"/>
        <v>1894.74</v>
      </c>
      <c r="AK249" s="170">
        <f t="shared" si="21"/>
        <v>1926.04</v>
      </c>
      <c r="AL249" s="170">
        <f t="shared" si="21"/>
        <v>1982.74</v>
      </c>
      <c r="AM249" s="170">
        <f t="shared" si="21"/>
        <v>1995.64</v>
      </c>
      <c r="AN249" s="170">
        <f t="shared" si="21"/>
        <v>1976.2400000000002</v>
      </c>
      <c r="AO249" s="170">
        <f t="shared" si="21"/>
        <v>1916.0400000000002</v>
      </c>
      <c r="AP249" s="170">
        <f t="shared" si="21"/>
        <v>1951.44</v>
      </c>
      <c r="AQ249" s="170">
        <f t="shared" si="21"/>
        <v>1946.9399999999998</v>
      </c>
      <c r="AR249" s="170">
        <f t="shared" si="21"/>
        <v>2005.1399999999999</v>
      </c>
      <c r="AS249" s="170">
        <f t="shared" si="21"/>
        <v>2087.04</v>
      </c>
      <c r="AT249" s="170">
        <f t="shared" si="21"/>
        <v>2081.2400000000002</v>
      </c>
      <c r="AU249" s="170">
        <f t="shared" si="21"/>
        <v>2036.0400000000004</v>
      </c>
      <c r="AV249" s="170">
        <f t="shared" si="21"/>
        <v>2026.6400000000003</v>
      </c>
      <c r="AW249" s="170">
        <f t="shared" si="21"/>
        <v>1963.1400000000003</v>
      </c>
      <c r="AX249" s="170">
        <f t="shared" si="21"/>
        <v>1936.4400000000003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2">C234</f>
        <v>0.64</v>
      </c>
      <c r="C270" s="173">
        <f t="shared" si="22"/>
        <v>0.64</v>
      </c>
      <c r="D270" s="173">
        <f t="shared" si="22"/>
        <v>0.64</v>
      </c>
      <c r="E270" s="173">
        <f t="shared" si="22"/>
        <v>0.64</v>
      </c>
      <c r="F270" s="173">
        <f t="shared" si="22"/>
        <v>0.64</v>
      </c>
      <c r="G270" s="173">
        <f t="shared" si="22"/>
        <v>0.64</v>
      </c>
      <c r="H270" s="173">
        <f t="shared" si="22"/>
        <v>0.64</v>
      </c>
      <c r="I270" s="173">
        <f t="shared" si="22"/>
        <v>0.64</v>
      </c>
      <c r="J270" s="173">
        <f t="shared" si="22"/>
        <v>0.64</v>
      </c>
      <c r="K270" s="173">
        <f t="shared" si="22"/>
        <v>0.64</v>
      </c>
      <c r="L270" s="173">
        <f t="shared" si="22"/>
        <v>0.64</v>
      </c>
      <c r="M270" s="173">
        <f t="shared" si="22"/>
        <v>0.64</v>
      </c>
      <c r="N270" s="173">
        <f t="shared" si="22"/>
        <v>0.64</v>
      </c>
      <c r="O270" s="173">
        <f t="shared" si="22"/>
        <v>0.64</v>
      </c>
      <c r="P270" s="173">
        <f t="shared" si="22"/>
        <v>0</v>
      </c>
      <c r="Q270" s="173">
        <f t="shared" si="22"/>
        <v>0</v>
      </c>
      <c r="R270" s="173">
        <f t="shared" si="22"/>
        <v>0</v>
      </c>
      <c r="S270" s="173">
        <f t="shared" si="22"/>
        <v>0</v>
      </c>
      <c r="T270" s="173">
        <f t="shared" si="22"/>
        <v>0</v>
      </c>
      <c r="U270" s="173">
        <f t="shared" si="22"/>
        <v>0</v>
      </c>
      <c r="V270" s="173">
        <f t="shared" si="22"/>
        <v>0</v>
      </c>
      <c r="W270" s="173">
        <f t="shared" si="22"/>
        <v>0</v>
      </c>
      <c r="X270" s="173">
        <f t="shared" si="22"/>
        <v>0</v>
      </c>
      <c r="Y270" s="173">
        <f t="shared" si="22"/>
        <v>0</v>
      </c>
      <c r="Z270" s="173">
        <f t="shared" si="22"/>
        <v>0</v>
      </c>
      <c r="AA270" s="173">
        <f t="shared" si="22"/>
        <v>0</v>
      </c>
      <c r="AB270" s="173">
        <f t="shared" si="22"/>
        <v>0</v>
      </c>
      <c r="AC270" s="173">
        <f t="shared" si="22"/>
        <v>0</v>
      </c>
      <c r="AD270" s="173">
        <f t="shared" si="22"/>
        <v>0</v>
      </c>
      <c r="AE270" s="173">
        <f t="shared" si="2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3">IF(B238&lt;100,"",B238-520)</f>
        <v/>
      </c>
      <c r="C271" s="174" t="str">
        <f t="shared" si="23"/>
        <v/>
      </c>
      <c r="D271" s="174" t="str">
        <f t="shared" si="23"/>
        <v/>
      </c>
      <c r="E271" s="174" t="str">
        <f t="shared" si="23"/>
        <v/>
      </c>
      <c r="F271" s="174" t="str">
        <f t="shared" si="23"/>
        <v/>
      </c>
      <c r="G271" s="174" t="str">
        <f t="shared" si="23"/>
        <v/>
      </c>
      <c r="H271" s="174" t="str">
        <f t="shared" si="23"/>
        <v/>
      </c>
      <c r="I271" s="174" t="str">
        <f t="shared" si="23"/>
        <v/>
      </c>
      <c r="J271" s="174" t="str">
        <f t="shared" si="23"/>
        <v/>
      </c>
      <c r="K271" s="174" t="str">
        <f t="shared" si="23"/>
        <v/>
      </c>
      <c r="L271" s="174" t="str">
        <f t="shared" si="23"/>
        <v/>
      </c>
      <c r="M271" s="174" t="str">
        <f t="shared" si="23"/>
        <v/>
      </c>
      <c r="N271" s="174" t="str">
        <f t="shared" si="23"/>
        <v/>
      </c>
      <c r="O271" s="174" t="str">
        <f t="shared" si="23"/>
        <v/>
      </c>
      <c r="P271" s="174" t="str">
        <f t="shared" si="23"/>
        <v/>
      </c>
      <c r="Q271" s="174" t="str">
        <f t="shared" si="23"/>
        <v/>
      </c>
      <c r="R271" s="174" t="str">
        <f t="shared" si="23"/>
        <v/>
      </c>
      <c r="S271" s="174" t="str">
        <f t="shared" si="23"/>
        <v/>
      </c>
      <c r="T271" s="174" t="str">
        <f t="shared" si="23"/>
        <v/>
      </c>
      <c r="U271" s="174" t="str">
        <f t="shared" si="23"/>
        <v/>
      </c>
      <c r="V271" s="174" t="str">
        <f t="shared" si="23"/>
        <v/>
      </c>
      <c r="W271" s="174" t="str">
        <f t="shared" si="23"/>
        <v/>
      </c>
      <c r="X271" s="174" t="str">
        <f t="shared" si="23"/>
        <v/>
      </c>
      <c r="Y271" s="174" t="str">
        <f t="shared" si="23"/>
        <v/>
      </c>
      <c r="Z271" s="174" t="str">
        <f t="shared" si="23"/>
        <v/>
      </c>
      <c r="AA271" s="174" t="str">
        <f t="shared" si="23"/>
        <v/>
      </c>
      <c r="AB271" s="174" t="str">
        <f t="shared" si="23"/>
        <v/>
      </c>
      <c r="AC271" s="174" t="str">
        <f t="shared" si="23"/>
        <v/>
      </c>
      <c r="AD271" s="174" t="str">
        <f t="shared" si="23"/>
        <v/>
      </c>
      <c r="AE271" s="174" t="str">
        <f t="shared" si="23"/>
        <v/>
      </c>
      <c r="AF271" s="174" t="str">
        <f t="shared" si="2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4">IF(B239&lt;100,"",B239-620)</f>
        <v/>
      </c>
      <c r="C272" s="174" t="str">
        <f t="shared" si="24"/>
        <v/>
      </c>
      <c r="D272" s="174" t="str">
        <f t="shared" si="24"/>
        <v/>
      </c>
      <c r="E272" s="174" t="str">
        <f t="shared" si="24"/>
        <v/>
      </c>
      <c r="F272" s="174" t="str">
        <f t="shared" si="24"/>
        <v/>
      </c>
      <c r="G272" s="174" t="str">
        <f t="shared" si="24"/>
        <v/>
      </c>
      <c r="H272" s="174" t="str">
        <f t="shared" si="24"/>
        <v/>
      </c>
      <c r="I272" s="174" t="str">
        <f t="shared" si="24"/>
        <v/>
      </c>
      <c r="J272" s="174" t="str">
        <f t="shared" si="24"/>
        <v/>
      </c>
      <c r="K272" s="174" t="str">
        <f t="shared" si="24"/>
        <v/>
      </c>
      <c r="L272" s="174" t="str">
        <f t="shared" si="24"/>
        <v/>
      </c>
      <c r="M272" s="174" t="str">
        <f t="shared" si="24"/>
        <v/>
      </c>
      <c r="N272" s="174" t="str">
        <f t="shared" si="24"/>
        <v/>
      </c>
      <c r="O272" s="174" t="str">
        <f t="shared" si="24"/>
        <v/>
      </c>
      <c r="P272" s="174" t="str">
        <f t="shared" si="24"/>
        <v/>
      </c>
      <c r="Q272" s="174" t="str">
        <f t="shared" si="24"/>
        <v/>
      </c>
      <c r="R272" s="174" t="str">
        <f t="shared" si="24"/>
        <v/>
      </c>
      <c r="S272" s="174" t="str">
        <f t="shared" si="24"/>
        <v/>
      </c>
      <c r="T272" s="174" t="str">
        <f t="shared" si="24"/>
        <v/>
      </c>
      <c r="U272" s="174" t="str">
        <f t="shared" si="24"/>
        <v/>
      </c>
      <c r="V272" s="174" t="str">
        <f t="shared" si="24"/>
        <v/>
      </c>
      <c r="W272" s="174" t="str">
        <f t="shared" si="24"/>
        <v/>
      </c>
      <c r="X272" s="174" t="str">
        <f t="shared" si="24"/>
        <v/>
      </c>
      <c r="Y272" s="174" t="str">
        <f t="shared" si="24"/>
        <v/>
      </c>
      <c r="Z272" s="174" t="str">
        <f t="shared" si="24"/>
        <v/>
      </c>
      <c r="AA272" s="174" t="str">
        <f t="shared" si="24"/>
        <v/>
      </c>
      <c r="AB272" s="174" t="str">
        <f t="shared" si="24"/>
        <v/>
      </c>
      <c r="AC272" s="174" t="str">
        <f t="shared" si="24"/>
        <v/>
      </c>
      <c r="AD272" s="174" t="str">
        <f t="shared" si="24"/>
        <v/>
      </c>
      <c r="AE272" s="174" t="str">
        <f t="shared" si="24"/>
        <v/>
      </c>
      <c r="AF272" s="174" t="str">
        <f t="shared" si="2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5">IF(B240&lt;100,"",B240-330)</f>
        <v/>
      </c>
      <c r="C273" s="174" t="str">
        <f t="shared" si="25"/>
        <v/>
      </c>
      <c r="D273" s="174" t="str">
        <f t="shared" si="25"/>
        <v/>
      </c>
      <c r="E273" s="174" t="str">
        <f t="shared" si="25"/>
        <v/>
      </c>
      <c r="F273" s="174" t="str">
        <f t="shared" si="25"/>
        <v/>
      </c>
      <c r="G273" s="174" t="str">
        <f t="shared" si="25"/>
        <v/>
      </c>
      <c r="H273" s="174" t="str">
        <f t="shared" si="25"/>
        <v/>
      </c>
      <c r="I273" s="174" t="str">
        <f t="shared" si="25"/>
        <v/>
      </c>
      <c r="J273" s="174" t="str">
        <f t="shared" si="25"/>
        <v/>
      </c>
      <c r="K273" s="174" t="str">
        <f t="shared" si="25"/>
        <v/>
      </c>
      <c r="L273" s="174" t="str">
        <f t="shared" si="25"/>
        <v/>
      </c>
      <c r="M273" s="174" t="str">
        <f t="shared" si="25"/>
        <v/>
      </c>
      <c r="N273" s="174" t="str">
        <f t="shared" si="25"/>
        <v/>
      </c>
      <c r="O273" s="174" t="str">
        <f t="shared" si="25"/>
        <v/>
      </c>
      <c r="P273" s="174" t="str">
        <f t="shared" si="25"/>
        <v/>
      </c>
      <c r="Q273" s="174" t="str">
        <f t="shared" si="25"/>
        <v/>
      </c>
      <c r="R273" s="174" t="str">
        <f t="shared" si="25"/>
        <v/>
      </c>
      <c r="S273" s="174" t="str">
        <f t="shared" si="25"/>
        <v/>
      </c>
      <c r="T273" s="174" t="str">
        <f t="shared" si="25"/>
        <v/>
      </c>
      <c r="U273" s="174" t="str">
        <f t="shared" si="25"/>
        <v/>
      </c>
      <c r="V273" s="174" t="str">
        <f t="shared" si="25"/>
        <v/>
      </c>
      <c r="W273" s="174" t="str">
        <f t="shared" si="25"/>
        <v/>
      </c>
      <c r="X273" s="174" t="str">
        <f t="shared" si="25"/>
        <v/>
      </c>
      <c r="Y273" s="174" t="str">
        <f t="shared" si="25"/>
        <v/>
      </c>
      <c r="Z273" s="174" t="str">
        <f t="shared" si="25"/>
        <v/>
      </c>
      <c r="AA273" s="174" t="str">
        <f t="shared" si="25"/>
        <v/>
      </c>
      <c r="AB273" s="174" t="str">
        <f t="shared" si="25"/>
        <v/>
      </c>
      <c r="AC273" s="174" t="str">
        <f t="shared" si="25"/>
        <v/>
      </c>
      <c r="AD273" s="174" t="str">
        <f t="shared" si="25"/>
        <v/>
      </c>
      <c r="AE273" s="174" t="str">
        <f t="shared" si="25"/>
        <v/>
      </c>
      <c r="AF273" s="174" t="str">
        <f t="shared" si="2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6">IF(B241&lt;100,"",B241-1500)</f>
        <v/>
      </c>
      <c r="C274" s="174" t="str">
        <f t="shared" si="26"/>
        <v/>
      </c>
      <c r="D274" s="174" t="str">
        <f t="shared" si="26"/>
        <v/>
      </c>
      <c r="E274" s="174" t="str">
        <f t="shared" si="26"/>
        <v/>
      </c>
      <c r="F274" s="174" t="str">
        <f t="shared" si="26"/>
        <v/>
      </c>
      <c r="G274" s="174" t="str">
        <f t="shared" si="26"/>
        <v/>
      </c>
      <c r="H274" s="174" t="str">
        <f t="shared" si="26"/>
        <v/>
      </c>
      <c r="I274" s="174" t="str">
        <f t="shared" si="26"/>
        <v/>
      </c>
      <c r="J274" s="174" t="str">
        <f t="shared" si="26"/>
        <v/>
      </c>
      <c r="K274" s="174" t="str">
        <f t="shared" si="26"/>
        <v/>
      </c>
      <c r="L274" s="174" t="str">
        <f t="shared" si="26"/>
        <v/>
      </c>
      <c r="M274" s="174" t="str">
        <f t="shared" si="26"/>
        <v/>
      </c>
      <c r="N274" s="174" t="str">
        <f t="shared" si="26"/>
        <v/>
      </c>
      <c r="O274" s="174" t="str">
        <f t="shared" si="26"/>
        <v/>
      </c>
      <c r="P274" s="174" t="str">
        <f t="shared" si="26"/>
        <v/>
      </c>
      <c r="Q274" s="174" t="str">
        <f t="shared" si="26"/>
        <v/>
      </c>
      <c r="R274" s="174" t="str">
        <f t="shared" si="26"/>
        <v/>
      </c>
      <c r="S274" s="174" t="str">
        <f t="shared" si="26"/>
        <v/>
      </c>
      <c r="T274" s="174" t="str">
        <f t="shared" si="26"/>
        <v/>
      </c>
      <c r="U274" s="174" t="str">
        <f t="shared" si="26"/>
        <v/>
      </c>
      <c r="V274" s="174" t="str">
        <f t="shared" si="26"/>
        <v/>
      </c>
      <c r="W274" s="174" t="str">
        <f t="shared" si="26"/>
        <v/>
      </c>
      <c r="X274" s="174" t="str">
        <f t="shared" si="26"/>
        <v/>
      </c>
      <c r="Y274" s="174" t="str">
        <f t="shared" si="26"/>
        <v/>
      </c>
      <c r="Z274" s="174" t="str">
        <f t="shared" si="26"/>
        <v/>
      </c>
      <c r="AA274" s="174" t="str">
        <f t="shared" si="26"/>
        <v/>
      </c>
      <c r="AB274" s="174" t="str">
        <f t="shared" si="26"/>
        <v/>
      </c>
      <c r="AC274" s="174" t="str">
        <f t="shared" si="26"/>
        <v/>
      </c>
      <c r="AD274" s="174" t="str">
        <f t="shared" si="26"/>
        <v/>
      </c>
      <c r="AE274" s="174" t="str">
        <f t="shared" si="26"/>
        <v/>
      </c>
      <c r="AF274" s="174" t="str">
        <f t="shared" si="2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197" priority="115">
      <formula>$AH11=0</formula>
    </cfRule>
  </conditionalFormatting>
  <conditionalFormatting sqref="B8 M8 S8 AB8">
    <cfRule type="expression" dxfId="3196" priority="166">
      <formula>AND(C$9&gt;=14/24,C$9&lt;20/24)</formula>
    </cfRule>
    <cfRule type="expression" dxfId="3195" priority="168">
      <formula>C$9&lt;8/24</formula>
    </cfRule>
    <cfRule type="expression" dxfId="3194" priority="167">
      <formula>AND(C$9&gt;=8/24,C$9&lt;14/24)</formula>
    </cfRule>
  </conditionalFormatting>
  <conditionalFormatting sqref="B9:AF45">
    <cfRule type="expression" dxfId="3193" priority="19">
      <formula>B$9&gt;=20/24</formula>
    </cfRule>
    <cfRule type="expression" dxfId="3192" priority="20">
      <formula>AND(B$9&gt;=14/24,B$9&lt;20/24)</formula>
    </cfRule>
    <cfRule type="expression" dxfId="3191" priority="21">
      <formula>AND(B$9&gt;=8/24,B$9&lt;14/24)</formula>
    </cfRule>
    <cfRule type="expression" dxfId="3190" priority="22">
      <formula>B$9&lt;8/24</formula>
    </cfRule>
  </conditionalFormatting>
  <conditionalFormatting sqref="B11:AF46">
    <cfRule type="expression" dxfId="3189" priority="18">
      <formula>B11&gt;$AG11</formula>
    </cfRule>
  </conditionalFormatting>
  <conditionalFormatting sqref="B46:AF46">
    <cfRule type="expression" dxfId="3188" priority="15">
      <formula>AND(B$9&gt;=14/24,B$9&lt;20/24)</formula>
    </cfRule>
    <cfRule type="expression" dxfId="3187" priority="14">
      <formula>B$9&gt;=20/24</formula>
    </cfRule>
    <cfRule type="expression" dxfId="3186" priority="16">
      <formula>AND(B$9&gt;=8/24,B$9&lt;14/24)</formula>
    </cfRule>
    <cfRule type="expression" dxfId="3185" priority="17">
      <formula>B$9&lt;8/24</formula>
    </cfRule>
  </conditionalFormatting>
  <conditionalFormatting sqref="B47:AF47">
    <cfRule type="expression" dxfId="3184" priority="28">
      <formula>B47&gt;$AG47</formula>
    </cfRule>
  </conditionalFormatting>
  <conditionalFormatting sqref="B69:AF71">
    <cfRule type="expression" dxfId="3183" priority="46">
      <formula>B$9&lt;8/24</formula>
    </cfRule>
    <cfRule type="expression" dxfId="3182" priority="45">
      <formula>AND(B$9&gt;=8/24,B$9&lt;14/24)</formula>
    </cfRule>
    <cfRule type="expression" dxfId="3181" priority="42">
      <formula>B69&gt;$AG69</formula>
    </cfRule>
    <cfRule type="expression" dxfId="3180" priority="44">
      <formula>AND(B$9&gt;=14/24,B$9&lt;20/24)</formula>
    </cfRule>
    <cfRule type="expression" dxfId="3179" priority="43">
      <formula>B$9&gt;=20/24</formula>
    </cfRule>
  </conditionalFormatting>
  <conditionalFormatting sqref="B73:AF91">
    <cfRule type="expression" dxfId="3178" priority="2">
      <formula>AND(B$9&gt;=14/24,B$9&lt;20/24)</formula>
    </cfRule>
    <cfRule type="expression" dxfId="3177" priority="3">
      <formula>AND(B$9&gt;=8/24,B$9&lt;14/24)</formula>
    </cfRule>
    <cfRule type="expression" dxfId="3176" priority="4">
      <formula>B$9&lt;8/24</formula>
    </cfRule>
    <cfRule type="expression" dxfId="3175" priority="1">
      <formula>B$9&gt;=20/24</formula>
    </cfRule>
  </conditionalFormatting>
  <conditionalFormatting sqref="B111:AF120">
    <cfRule type="expression" dxfId="3174" priority="10">
      <formula>B$9&gt;=20/24</formula>
    </cfRule>
    <cfRule type="expression" dxfId="3173" priority="11">
      <formula>AND(B$9&gt;=14/24,B$9&lt;20/24)</formula>
    </cfRule>
    <cfRule type="expression" dxfId="3172" priority="12">
      <formula>AND(B$9&gt;=8/24,B$9&lt;14/24)</formula>
    </cfRule>
    <cfRule type="expression" dxfId="3171" priority="13">
      <formula>B$9&lt;8/24</formula>
    </cfRule>
  </conditionalFormatting>
  <conditionalFormatting sqref="B227:AF227 D229:AF230 B229:B235 D231:H231 J231:AF231 D232:AF235 U248:AF248">
    <cfRule type="expression" dxfId="3170" priority="162">
      <formula>B$9&lt;8/24</formula>
    </cfRule>
    <cfRule type="expression" dxfId="3169" priority="161">
      <formula>AND(B$9&gt;=8/24,B$9&lt;14/24)</formula>
    </cfRule>
    <cfRule type="expression" dxfId="3168" priority="160">
      <formula>AND(B$9&gt;=14/24,B$9&lt;20/24)</formula>
    </cfRule>
    <cfRule type="expression" dxfId="3167" priority="159">
      <formula>B$9&gt;=20/24</formula>
    </cfRule>
  </conditionalFormatting>
  <conditionalFormatting sqref="B67:AG68 B72:AG72">
    <cfRule type="expression" dxfId="3166" priority="33">
      <formula>B67&gt;$AG67</formula>
    </cfRule>
  </conditionalFormatting>
  <conditionalFormatting sqref="B72:AG72 B93:AF109">
    <cfRule type="expression" dxfId="3165" priority="34">
      <formula>B$9&gt;=20/24</formula>
    </cfRule>
    <cfRule type="expression" dxfId="3164" priority="35">
      <formula>AND(B$9&gt;=14/24,B$9&lt;20/24)</formula>
    </cfRule>
    <cfRule type="expression" dxfId="3163" priority="36">
      <formula>AND(B$9&gt;=8/24,B$9&lt;14/24)</formula>
    </cfRule>
    <cfRule type="expression" dxfId="3162" priority="37">
      <formula>B$9&lt;8/24</formula>
    </cfRule>
  </conditionalFormatting>
  <conditionalFormatting sqref="E47:E48 B47:D49 F47:AF47">
    <cfRule type="expression" dxfId="3161" priority="24">
      <formula>B$9&gt;=20/24</formula>
    </cfRule>
  </conditionalFormatting>
  <conditionalFormatting sqref="E55:M57">
    <cfRule type="expression" dxfId="3160" priority="140">
      <formula>E$9&gt;=20/24</formula>
    </cfRule>
    <cfRule type="expression" dxfId="3159" priority="143">
      <formula>E$9&lt;8/24</formula>
    </cfRule>
    <cfRule type="expression" dxfId="3158" priority="142">
      <formula>AND(E$9&gt;=8/24,E$9&lt;14/24)</formula>
    </cfRule>
    <cfRule type="expression" dxfId="3157" priority="141">
      <formula>AND(E$9&gt;=14/24,E$9&lt;20/24)</formula>
    </cfRule>
  </conditionalFormatting>
  <conditionalFormatting sqref="E48:AF49 B48:D66 E51:AF53 E55:AF66">
    <cfRule type="expression" dxfId="3156" priority="5">
      <formula>B48&gt;$AG48</formula>
    </cfRule>
  </conditionalFormatting>
  <conditionalFormatting sqref="E51:AF53 B51:D66 E60:M66 N62:Z66">
    <cfRule type="expression" dxfId="3155" priority="7">
      <formula>AND(B$9&gt;=14/24,B$9&lt;20/24)</formula>
    </cfRule>
    <cfRule type="expression" dxfId="3154" priority="9">
      <formula>B$9&lt;8/24</formula>
    </cfRule>
    <cfRule type="expression" dxfId="3153" priority="8">
      <formula>AND(B$9&gt;=8/24,B$9&lt;14/24)</formula>
    </cfRule>
    <cfRule type="expression" dxfId="3152" priority="6">
      <formula>B$9&gt;=20/24</formula>
    </cfRule>
  </conditionalFormatting>
  <conditionalFormatting sqref="E50:AG50">
    <cfRule type="expression" dxfId="3151" priority="78">
      <formula>E50&gt;$AG50</formula>
    </cfRule>
  </conditionalFormatting>
  <conditionalFormatting sqref="E54:AG54">
    <cfRule type="expression" dxfId="3150" priority="130">
      <formula>AND(E$9&gt;=8/24,E$9&lt;14/24)</formula>
    </cfRule>
    <cfRule type="expression" dxfId="3149" priority="129">
      <formula>AND(E$9&gt;=14/24,E$9&lt;20/24)</formula>
    </cfRule>
    <cfRule type="expression" dxfId="3148" priority="128">
      <formula>E$9&gt;=20/24</formula>
    </cfRule>
    <cfRule type="expression" dxfId="3147" priority="127">
      <formula>E54&gt;$AG54</formula>
    </cfRule>
    <cfRule type="expression" dxfId="3146" priority="131">
      <formula>E$9&lt;8/24</formula>
    </cfRule>
  </conditionalFormatting>
  <conditionalFormatting sqref="F48:AD48 AE48:AF49 E49:AD49">
    <cfRule type="expression" dxfId="3145" priority="79">
      <formula>E$9&gt;=20/24</formula>
    </cfRule>
    <cfRule type="expression" dxfId="3144" priority="80">
      <formula>AND(E$9&gt;=14/24,E$9&lt;20/24)</formula>
    </cfRule>
    <cfRule type="expression" dxfId="3143" priority="81">
      <formula>AND(E$9&gt;=8/24,E$9&lt;14/24)</formula>
    </cfRule>
    <cfRule type="expression" dxfId="3142" priority="82">
      <formula>E$9&lt;8/24</formula>
    </cfRule>
  </conditionalFormatting>
  <conditionalFormatting sqref="F47:AF47 E47:E48 B47:D49">
    <cfRule type="expression" dxfId="3141" priority="25">
      <formula>AND(B$9&gt;=14/24,B$9&lt;20/24)</formula>
    </cfRule>
    <cfRule type="expression" dxfId="3140" priority="26">
      <formula>AND(B$9&gt;=8/24,B$9&lt;14/24)</formula>
    </cfRule>
    <cfRule type="expression" dxfId="3139" priority="27">
      <formula>B$9&lt;8/24</formula>
    </cfRule>
  </conditionalFormatting>
  <conditionalFormatting sqref="N55:AF66">
    <cfRule type="expression" dxfId="3138" priority="57">
      <formula>N$9&gt;=20/24</formula>
    </cfRule>
    <cfRule type="expression" dxfId="3137" priority="58">
      <formula>AND(N$9&gt;=14/24,N$9&lt;20/24)</formula>
    </cfRule>
    <cfRule type="expression" dxfId="3136" priority="59">
      <formula>AND(N$9&gt;=8/24,N$9&lt;14/24)</formula>
    </cfRule>
    <cfRule type="expression" dxfId="3135" priority="60">
      <formula>N$9&lt;8/24</formula>
    </cfRule>
  </conditionalFormatting>
  <conditionalFormatting sqref="O3:P3">
    <cfRule type="iconSet" priority="163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134" priority="165">
      <formula>C$9&gt;=20/24</formula>
    </cfRule>
  </conditionalFormatting>
  <conditionalFormatting sqref="S8">
    <cfRule type="expression" dxfId="3133" priority="154">
      <formula>AND(U$9&gt;=8/24,U$9&lt;14/24)</formula>
    </cfRule>
    <cfRule type="expression" dxfId="3132" priority="153">
      <formula>AND(U$9&gt;=14/24,U$9&lt;20/24)</formula>
    </cfRule>
    <cfRule type="expression" dxfId="3131" priority="152">
      <formula>U$9&gt;=20/24</formula>
    </cfRule>
    <cfRule type="expression" dxfId="3130" priority="155">
      <formula>U$9&lt;8/24</formula>
    </cfRule>
  </conditionalFormatting>
  <conditionalFormatting sqref="T248">
    <cfRule type="expression" dxfId="3129" priority="177">
      <formula>AX$9&gt;=20/24</formula>
    </cfRule>
    <cfRule type="expression" dxfId="3128" priority="179">
      <formula>AND(AX$9&gt;=8/24,AX$9&lt;14/24)</formula>
    </cfRule>
    <cfRule type="expression" dxfId="3127" priority="180">
      <formula>AX$9&lt;8/24</formula>
    </cfRule>
    <cfRule type="expression" dxfId="3126" priority="178">
      <formula>AND(AX$9&gt;=14/24,AX$9&lt;20/24)</formula>
    </cfRule>
  </conditionalFormatting>
  <conditionalFormatting sqref="V3 AB3">
    <cfRule type="iconSet" priority="164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125" priority="151">
      <formula>AD$9&lt;8/24</formula>
    </cfRule>
    <cfRule type="expression" dxfId="3124" priority="150">
      <formula>AND(AD$9&gt;=8/24,AD$9&lt;14/24)</formula>
    </cfRule>
    <cfRule type="expression" dxfId="3123" priority="148">
      <formula>AD$9&gt;=20/24</formula>
    </cfRule>
    <cfRule type="expression" dxfId="3122" priority="149">
      <formula>AND(AD$9&gt;=14/24,AD$9&lt;20/24)</formula>
    </cfRule>
  </conditionalFormatting>
  <conditionalFormatting sqref="AG89">
    <cfRule type="expression" dxfId="3121" priority="136">
      <formula>AG$9&gt;=20/24</formula>
    </cfRule>
    <cfRule type="expression" dxfId="3120" priority="139">
      <formula>AG$9&lt;8/24</formula>
    </cfRule>
    <cfRule type="expression" dxfId="3119" priority="138">
      <formula>AND(AG$9&gt;=8/24,AG$9&lt;14/24)</formula>
    </cfRule>
    <cfRule type="expression" dxfId="3118" priority="137">
      <formula>AND(AG$9&gt;=14/24,AG$9&lt;20/24)</formula>
    </cfRule>
  </conditionalFormatting>
  <conditionalFormatting sqref="AG248">
    <cfRule type="expression" dxfId="3117" priority="169">
      <formula>B$9&gt;=20/24</formula>
    </cfRule>
    <cfRule type="expression" dxfId="3116" priority="171">
      <formula>AND(B$9&gt;=8/24,B$9&lt;14/24)</formula>
    </cfRule>
    <cfRule type="expression" dxfId="3115" priority="170">
      <formula>AND(B$9&gt;=14/24,B$9&lt;20/24)</formula>
    </cfRule>
    <cfRule type="expression" dxfId="3114" priority="172">
      <formula>B$9&lt;8/24</formula>
    </cfRule>
  </conditionalFormatting>
  <conditionalFormatting sqref="AH248:AX248">
    <cfRule type="expression" dxfId="3113" priority="173">
      <formula>AG$9&gt;=20/24</formula>
    </cfRule>
    <cfRule type="expression" dxfId="3112" priority="174">
      <formula>AND(AG$9&gt;=14/24,AG$9&lt;20/24)</formula>
    </cfRule>
    <cfRule type="expression" dxfId="3111" priority="175">
      <formula>AND(AG$9&gt;=8/24,AG$9&lt;14/24)</formula>
    </cfRule>
    <cfRule type="expression" dxfId="3110" priority="176">
      <formula>AG$9&lt;8/24</formula>
    </cfRule>
  </conditionalFormatting>
  <conditionalFormatting sqref="AL4:AL6">
    <cfRule type="iconSet" priority="158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18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2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56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1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109" priority="182">
      <formula>AJ$9&gt;=20/24</formula>
    </cfRule>
    <cfRule type="expression" dxfId="3108" priority="183">
      <formula>AND(AJ$9&gt;=14/24,AJ$9&lt;20/24)</formula>
    </cfRule>
    <cfRule type="expression" dxfId="3107" priority="184">
      <formula>AND(AJ$9&gt;=8/24,AJ$9&lt;14/24)</formula>
    </cfRule>
    <cfRule type="expression" dxfId="3106" priority="185">
      <formula>AJ$9&lt;8/24</formula>
    </cfRule>
  </conditionalFormatting>
  <conditionalFormatting sqref="AL80:AN80 AL86:AN86">
    <cfRule type="expression" dxfId="3105" priority="126">
      <formula>AL$9&lt;8/24</formula>
    </cfRule>
    <cfRule type="expression" dxfId="3104" priority="125">
      <formula>AND(AL$9&gt;=8/24,AL$9&lt;14/24)</formula>
    </cfRule>
    <cfRule type="expression" dxfId="3103" priority="123">
      <formula>AL$9&gt;=20/24</formula>
    </cfRule>
    <cfRule type="expression" dxfId="3102" priority="124">
      <formula>AND(AL$9&gt;=14/24,AL$9&lt;20/24)</formula>
    </cfRule>
  </conditionalFormatting>
  <conditionalFormatting sqref="AN81:AN84">
    <cfRule type="expression" dxfId="3101" priority="119">
      <formula>AN$9&gt;=20/24</formula>
    </cfRule>
    <cfRule type="expression" dxfId="3100" priority="120">
      <formula>AND(AN$9&gt;=14/24,AN$9&lt;20/24)</formula>
    </cfRule>
    <cfRule type="expression" dxfId="3099" priority="121">
      <formula>AND(AN$9&gt;=8/24,AN$9&lt;14/24)</formula>
    </cfRule>
    <cfRule type="expression" dxfId="3098" priority="122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7ADA-58CD-43BA-9F90-11995343820D}">
  <sheetPr codeName="Sheet10"/>
  <dimension ref="A1:CJ281"/>
  <sheetViews>
    <sheetView workbookViewId="0">
      <pane xSplit="1" ySplit="10" topLeftCell="G3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U77" sqref="U77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" style="1" customWidth="1"/>
    <col min="12" max="12" width="6.57031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6" width="24.42578125" style="1" bestFit="1" customWidth="1"/>
    <col min="37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2080/05/8</v>
      </c>
      <c r="C4" s="196"/>
      <c r="D4" s="196"/>
      <c r="E4" s="197" t="str">
        <f ca="1">"2080/"&amp;"05/"&amp;INT(MID(CELL("filename",G6),FIND("]",CELL("filename",G6))+1,200))</f>
        <v>2080/05/8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15.8</v>
      </c>
      <c r="N5" s="30">
        <f t="shared" si="0"/>
        <v>1.6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1945MW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Load=1666</v>
      </c>
      <c r="B7" s="35">
        <f t="shared" ref="B7:AF7" si="1">B91</f>
        <v>1936.4400000000003</v>
      </c>
      <c r="C7" s="35">
        <f t="shared" si="1"/>
        <v>1833.04</v>
      </c>
      <c r="D7" s="35">
        <f t="shared" si="1"/>
        <v>1666.2399999999998</v>
      </c>
      <c r="E7" s="35">
        <f t="shared" si="1"/>
        <v>1704.74</v>
      </c>
      <c r="F7" s="35">
        <f t="shared" si="1"/>
        <v>1673.8400000000001</v>
      </c>
      <c r="G7" s="35">
        <f t="shared" si="1"/>
        <v>1692.64</v>
      </c>
      <c r="H7" s="35">
        <f t="shared" si="1"/>
        <v>1730.24</v>
      </c>
      <c r="I7" s="35">
        <f t="shared" si="1"/>
        <v>1840.24</v>
      </c>
      <c r="J7" s="35">
        <f t="shared" si="1"/>
        <v>1876.64</v>
      </c>
      <c r="K7" s="35">
        <f t="shared" si="1"/>
        <v>1943.8400000000001</v>
      </c>
      <c r="L7" s="35">
        <f t="shared" si="1"/>
        <v>1944.94</v>
      </c>
      <c r="M7" s="35">
        <f t="shared" si="1"/>
        <v>1932.3600000000001</v>
      </c>
      <c r="N7" s="35">
        <f>N91</f>
        <v>1935.24</v>
      </c>
      <c r="O7" s="35">
        <f t="shared" si="1"/>
        <v>1856.84</v>
      </c>
      <c r="P7" s="35">
        <f t="shared" si="1"/>
        <v>1947.04</v>
      </c>
      <c r="Q7" s="35">
        <f t="shared" si="1"/>
        <v>1944.44</v>
      </c>
      <c r="R7" s="35">
        <f t="shared" si="1"/>
        <v>1944.44</v>
      </c>
      <c r="S7" s="35">
        <f t="shared" si="1"/>
        <v>1984.1399999999999</v>
      </c>
      <c r="T7" s="35">
        <f t="shared" si="1"/>
        <v>1977.54</v>
      </c>
      <c r="U7" s="35">
        <f t="shared" si="1"/>
        <v>1832.4399999999998</v>
      </c>
      <c r="V7" s="35">
        <f t="shared" si="1"/>
        <v>1973.44</v>
      </c>
      <c r="W7" s="35">
        <f t="shared" si="1"/>
        <v>1972.49</v>
      </c>
      <c r="X7" s="35">
        <f t="shared" si="1"/>
        <v>1958.29</v>
      </c>
      <c r="Y7" s="35">
        <f t="shared" si="1"/>
        <v>1977.8899999999999</v>
      </c>
      <c r="Z7" s="35">
        <f t="shared" si="1"/>
        <v>2022.44</v>
      </c>
      <c r="AA7" s="35">
        <f t="shared" si="1"/>
        <v>2037.3400000000001</v>
      </c>
      <c r="AB7" s="35">
        <f t="shared" si="1"/>
        <v>2019.24</v>
      </c>
      <c r="AC7" s="35">
        <f t="shared" si="1"/>
        <v>2006.04</v>
      </c>
      <c r="AD7" s="35">
        <f t="shared" si="1"/>
        <v>1964.8400000000001</v>
      </c>
      <c r="AE7" s="35">
        <f t="shared" si="1"/>
        <v>1924.3400000000001</v>
      </c>
      <c r="AF7" s="35">
        <f t="shared" si="1"/>
        <v>1891.64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60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60</v>
      </c>
      <c r="J11" s="45">
        <v>60</v>
      </c>
      <c r="K11" s="45">
        <v>60</v>
      </c>
      <c r="L11" s="45">
        <v>60.2</v>
      </c>
      <c r="M11" s="45">
        <v>60.2</v>
      </c>
      <c r="N11" s="45">
        <v>60.2</v>
      </c>
      <c r="O11" s="45">
        <v>88</v>
      </c>
      <c r="P11" s="45">
        <v>88</v>
      </c>
      <c r="Q11" s="45">
        <v>88</v>
      </c>
      <c r="R11" s="45">
        <v>88</v>
      </c>
      <c r="S11" s="45">
        <v>86.9</v>
      </c>
      <c r="T11" s="45">
        <v>86.9</v>
      </c>
      <c r="U11" s="45">
        <v>86.9</v>
      </c>
      <c r="V11" s="45">
        <v>86.9</v>
      </c>
      <c r="W11" s="45">
        <v>86.9</v>
      </c>
      <c r="X11" s="45">
        <v>86.9</v>
      </c>
      <c r="Y11" s="45">
        <v>86.9</v>
      </c>
      <c r="Z11" s="45">
        <v>86.9</v>
      </c>
      <c r="AA11" s="45">
        <v>87.1</v>
      </c>
      <c r="AB11" s="45">
        <v>87</v>
      </c>
      <c r="AC11" s="45">
        <v>87</v>
      </c>
      <c r="AD11" s="45">
        <v>87</v>
      </c>
      <c r="AE11" s="45">
        <v>87</v>
      </c>
      <c r="AF11" s="45">
        <v>87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5</v>
      </c>
      <c r="H12" s="45">
        <v>5</v>
      </c>
      <c r="I12" s="45">
        <v>5</v>
      </c>
      <c r="J12" s="45">
        <v>5</v>
      </c>
      <c r="K12" s="45">
        <v>12</v>
      </c>
      <c r="L12" s="45">
        <v>12</v>
      </c>
      <c r="M12" s="45">
        <v>12</v>
      </c>
      <c r="N12" s="45">
        <v>12</v>
      </c>
      <c r="O12" s="45">
        <v>13</v>
      </c>
      <c r="P12" s="45">
        <v>13</v>
      </c>
      <c r="Q12" s="45">
        <v>13</v>
      </c>
      <c r="R12" s="45">
        <v>13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0</v>
      </c>
      <c r="E13" s="45">
        <v>0</v>
      </c>
      <c r="F13" s="45">
        <v>0</v>
      </c>
      <c r="G13" s="45">
        <v>0</v>
      </c>
      <c r="H13" s="45">
        <v>27.7</v>
      </c>
      <c r="I13" s="45">
        <v>55</v>
      </c>
      <c r="J13" s="45">
        <v>55</v>
      </c>
      <c r="K13" s="45">
        <v>54.9</v>
      </c>
      <c r="L13" s="45">
        <v>55</v>
      </c>
      <c r="M13" s="45">
        <v>55</v>
      </c>
      <c r="N13" s="45">
        <v>55</v>
      </c>
      <c r="O13" s="45">
        <v>55</v>
      </c>
      <c r="P13" s="45">
        <v>55</v>
      </c>
      <c r="Q13" s="45">
        <v>55</v>
      </c>
      <c r="R13" s="45">
        <v>55</v>
      </c>
      <c r="S13" s="45">
        <v>55</v>
      </c>
      <c r="T13" s="45">
        <v>55</v>
      </c>
      <c r="U13" s="45">
        <v>55</v>
      </c>
      <c r="V13" s="45">
        <v>55</v>
      </c>
      <c r="W13" s="45">
        <v>55</v>
      </c>
      <c r="X13" s="45">
        <v>55</v>
      </c>
      <c r="Y13" s="45">
        <v>55</v>
      </c>
      <c r="Z13" s="45">
        <v>55</v>
      </c>
      <c r="AA13" s="45">
        <v>55</v>
      </c>
      <c r="AB13" s="45">
        <v>54.6</v>
      </c>
      <c r="AC13" s="45">
        <v>54.6</v>
      </c>
      <c r="AD13" s="45">
        <v>54.6</v>
      </c>
      <c r="AE13" s="45">
        <v>54.6</v>
      </c>
      <c r="AF13" s="45">
        <v>54.6</v>
      </c>
      <c r="AG13" s="46">
        <v>52.4</v>
      </c>
      <c r="AH13" s="47">
        <f t="shared" si="2"/>
        <v>55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50.2</v>
      </c>
      <c r="C14" s="58">
        <v>50.2</v>
      </c>
      <c r="D14" s="58">
        <v>50.2</v>
      </c>
      <c r="E14" s="58">
        <v>50.2</v>
      </c>
      <c r="F14" s="58">
        <v>50.2</v>
      </c>
      <c r="G14" s="58">
        <v>50.4</v>
      </c>
      <c r="H14" s="58">
        <v>50.4</v>
      </c>
      <c r="I14" s="58">
        <v>50.4</v>
      </c>
      <c r="J14" s="58">
        <v>50.4</v>
      </c>
      <c r="K14" s="58">
        <v>50.3</v>
      </c>
      <c r="L14" s="58">
        <v>50.4</v>
      </c>
      <c r="M14" s="58">
        <v>50.4</v>
      </c>
      <c r="N14" s="58">
        <v>50.4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50.2</v>
      </c>
      <c r="AC14" s="45">
        <v>50.2</v>
      </c>
      <c r="AD14" s="45">
        <v>50.2</v>
      </c>
      <c r="AE14" s="45">
        <v>50.2</v>
      </c>
      <c r="AF14" s="45">
        <v>50.2</v>
      </c>
      <c r="AG14" s="49">
        <v>50</v>
      </c>
      <c r="AH14" s="47">
        <f t="shared" si="2"/>
        <v>50.6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37.6</v>
      </c>
      <c r="F15" s="45">
        <v>37.6</v>
      </c>
      <c r="G15" s="45">
        <v>23.6</v>
      </c>
      <c r="H15" s="45">
        <v>23.6</v>
      </c>
      <c r="I15" s="45">
        <v>37</v>
      </c>
      <c r="J15" s="45">
        <v>37</v>
      </c>
      <c r="K15" s="45">
        <v>46</v>
      </c>
      <c r="L15" s="45">
        <v>45.9</v>
      </c>
      <c r="M15" s="45">
        <v>46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</v>
      </c>
      <c r="AI15" s="48">
        <f t="shared" si="3"/>
        <v>23.6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26.5</v>
      </c>
      <c r="G17" s="45">
        <v>26.5</v>
      </c>
      <c r="H17" s="45">
        <v>26.5</v>
      </c>
      <c r="I17" s="45">
        <v>26.5</v>
      </c>
      <c r="J17" s="45">
        <v>26.5</v>
      </c>
      <c r="K17" s="45">
        <v>26.4</v>
      </c>
      <c r="L17" s="45">
        <v>26.4</v>
      </c>
      <c r="M17" s="45">
        <v>27</v>
      </c>
      <c r="N17" s="45">
        <v>27</v>
      </c>
      <c r="O17" s="45">
        <v>27.4</v>
      </c>
      <c r="P17" s="45">
        <v>27.4</v>
      </c>
      <c r="Q17" s="45">
        <v>27.4</v>
      </c>
      <c r="R17" s="45">
        <v>27.4</v>
      </c>
      <c r="S17" s="45">
        <v>27.4</v>
      </c>
      <c r="T17" s="45">
        <v>27.4</v>
      </c>
      <c r="U17" s="45">
        <v>27.4</v>
      </c>
      <c r="V17" s="45">
        <v>0</v>
      </c>
      <c r="W17" s="45">
        <v>0</v>
      </c>
      <c r="X17" s="45">
        <v>0</v>
      </c>
      <c r="Y17" s="45">
        <v>0</v>
      </c>
      <c r="Z17" s="45">
        <v>31.2</v>
      </c>
      <c r="AA17" s="45">
        <v>31.2</v>
      </c>
      <c r="AB17" s="45">
        <v>31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31.2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5</v>
      </c>
      <c r="H20" s="45">
        <v>5</v>
      </c>
      <c r="I20" s="45">
        <v>5</v>
      </c>
      <c r="J20" s="45">
        <v>5</v>
      </c>
      <c r="K20" s="45">
        <v>10</v>
      </c>
      <c r="L20" s="45">
        <v>10</v>
      </c>
      <c r="M20" s="45">
        <v>10</v>
      </c>
      <c r="N20" s="45">
        <v>30</v>
      </c>
      <c r="O20" s="45">
        <v>30</v>
      </c>
      <c r="P20" s="45">
        <v>5</v>
      </c>
      <c r="Q20" s="45">
        <v>5</v>
      </c>
      <c r="R20" s="45">
        <v>5</v>
      </c>
      <c r="S20" s="45">
        <v>5</v>
      </c>
      <c r="T20" s="45">
        <v>5</v>
      </c>
      <c r="U20" s="45">
        <v>5</v>
      </c>
      <c r="V20" s="45">
        <v>5</v>
      </c>
      <c r="W20" s="45">
        <v>5</v>
      </c>
      <c r="X20" s="45">
        <v>5</v>
      </c>
      <c r="Y20" s="45">
        <v>5</v>
      </c>
      <c r="Z20" s="45">
        <v>5</v>
      </c>
      <c r="AA20" s="45">
        <v>5</v>
      </c>
      <c r="AB20" s="45">
        <v>5</v>
      </c>
      <c r="AC20" s="45">
        <v>5</v>
      </c>
      <c r="AD20" s="45">
        <v>5</v>
      </c>
      <c r="AE20" s="45">
        <v>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24.8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45">
        <v>0</v>
      </c>
      <c r="S21" s="45">
        <v>0</v>
      </c>
      <c r="T21" s="45">
        <v>0</v>
      </c>
      <c r="U21" s="45">
        <v>0</v>
      </c>
      <c r="V21" s="45">
        <v>33.1</v>
      </c>
      <c r="W21" s="45">
        <v>33.1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32.9</v>
      </c>
      <c r="AC21" s="45">
        <v>32.9</v>
      </c>
      <c r="AD21" s="45">
        <v>25.7</v>
      </c>
      <c r="AE21" s="45">
        <v>25.7</v>
      </c>
      <c r="AF21" s="45">
        <v>25.7</v>
      </c>
      <c r="AG21" s="49">
        <v>24.2</v>
      </c>
      <c r="AH21" s="47">
        <f t="shared" si="2"/>
        <v>33.1</v>
      </c>
      <c r="AI21" s="48">
        <f t="shared" si="3"/>
        <v>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0</v>
      </c>
      <c r="E22" s="45">
        <v>0</v>
      </c>
      <c r="F22" s="45">
        <v>13.9</v>
      </c>
      <c r="G22" s="45">
        <v>0</v>
      </c>
      <c r="H22" s="45">
        <v>0</v>
      </c>
      <c r="I22" s="45">
        <v>0</v>
      </c>
      <c r="J22" s="45">
        <v>0</v>
      </c>
      <c r="K22" s="45">
        <v>15</v>
      </c>
      <c r="L22" s="45">
        <v>15</v>
      </c>
      <c r="M22" s="45">
        <v>15.5</v>
      </c>
      <c r="N22" s="45">
        <v>15.5</v>
      </c>
      <c r="O22" s="45">
        <v>15.4</v>
      </c>
      <c r="P22" s="45">
        <v>15.4</v>
      </c>
      <c r="Q22" s="45">
        <v>15.4</v>
      </c>
      <c r="R22" s="45">
        <v>15.4</v>
      </c>
      <c r="S22" s="45">
        <v>15.4</v>
      </c>
      <c r="T22" s="45">
        <v>15.4</v>
      </c>
      <c r="U22" s="45">
        <v>15.4</v>
      </c>
      <c r="V22" s="45">
        <v>15.4</v>
      </c>
      <c r="W22" s="45">
        <v>15.4</v>
      </c>
      <c r="X22" s="45">
        <v>15.4</v>
      </c>
      <c r="Y22" s="45">
        <v>15.4</v>
      </c>
      <c r="Z22" s="45">
        <v>15.4</v>
      </c>
      <c r="AA22" s="45">
        <v>15.4</v>
      </c>
      <c r="AB22" s="45">
        <v>15.4</v>
      </c>
      <c r="AC22" s="45">
        <v>15.4</v>
      </c>
      <c r="AD22" s="45">
        <v>15.4</v>
      </c>
      <c r="AE22" s="45">
        <v>15.4</v>
      </c>
      <c r="AF22" s="45">
        <v>15.4</v>
      </c>
      <c r="AG22" s="49">
        <v>28</v>
      </c>
      <c r="AH22" s="47">
        <f t="shared" si="2"/>
        <v>28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4.5</v>
      </c>
      <c r="D23" s="45">
        <v>0</v>
      </c>
      <c r="E23" s="45">
        <v>0</v>
      </c>
      <c r="F23" s="45">
        <v>0</v>
      </c>
      <c r="G23" s="45">
        <v>5</v>
      </c>
      <c r="H23" s="45">
        <v>5</v>
      </c>
      <c r="I23" s="45">
        <v>5</v>
      </c>
      <c r="J23" s="45">
        <v>5</v>
      </c>
      <c r="K23" s="45">
        <v>8.5</v>
      </c>
      <c r="L23" s="45">
        <v>8.5</v>
      </c>
      <c r="M23" s="45">
        <v>13.5</v>
      </c>
      <c r="N23" s="45">
        <v>27</v>
      </c>
      <c r="O23" s="45">
        <v>27</v>
      </c>
      <c r="P23" s="45">
        <v>3</v>
      </c>
      <c r="Q23" s="45">
        <v>3</v>
      </c>
      <c r="R23" s="45">
        <v>3</v>
      </c>
      <c r="S23" s="45">
        <v>3</v>
      </c>
      <c r="T23" s="45">
        <v>3</v>
      </c>
      <c r="U23" s="45">
        <v>3</v>
      </c>
      <c r="V23" s="45">
        <v>3</v>
      </c>
      <c r="W23" s="45">
        <v>3</v>
      </c>
      <c r="X23" s="45">
        <v>3</v>
      </c>
      <c r="Y23" s="45">
        <v>3</v>
      </c>
      <c r="Z23" s="45">
        <v>13.5</v>
      </c>
      <c r="AA23" s="45">
        <v>13.5</v>
      </c>
      <c r="AB23" s="45">
        <v>13.5</v>
      </c>
      <c r="AC23" s="45">
        <v>13.5</v>
      </c>
      <c r="AD23" s="45">
        <v>5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25.1</v>
      </c>
      <c r="C24" s="45">
        <v>25.1</v>
      </c>
      <c r="D24" s="45">
        <v>25.1</v>
      </c>
      <c r="E24" s="45">
        <v>25</v>
      </c>
      <c r="F24" s="45">
        <v>24.3</v>
      </c>
      <c r="G24" s="45">
        <v>24.2</v>
      </c>
      <c r="H24" s="45">
        <v>24.2</v>
      </c>
      <c r="I24" s="45">
        <v>24.2</v>
      </c>
      <c r="J24" s="45">
        <v>24.2</v>
      </c>
      <c r="K24" s="45">
        <v>26</v>
      </c>
      <c r="L24" s="45">
        <v>26</v>
      </c>
      <c r="M24" s="45">
        <v>26</v>
      </c>
      <c r="N24" s="45">
        <v>26</v>
      </c>
      <c r="O24" s="45">
        <v>26.1</v>
      </c>
      <c r="P24" s="45">
        <v>26.1</v>
      </c>
      <c r="Q24" s="45">
        <v>26.1</v>
      </c>
      <c r="R24" s="45">
        <v>26.1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26.1</v>
      </c>
      <c r="AI24" s="48">
        <f t="shared" si="3"/>
        <v>24.2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15</v>
      </c>
      <c r="H26" s="45">
        <v>15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4.5</v>
      </c>
      <c r="D27" s="45">
        <v>0</v>
      </c>
      <c r="E27" s="45">
        <v>0</v>
      </c>
      <c r="F27" s="45">
        <v>0</v>
      </c>
      <c r="G27" s="45">
        <v>4</v>
      </c>
      <c r="H27" s="45">
        <v>4</v>
      </c>
      <c r="I27" s="45">
        <v>4</v>
      </c>
      <c r="J27" s="45">
        <v>4</v>
      </c>
      <c r="K27" s="45">
        <v>7</v>
      </c>
      <c r="L27" s="45">
        <v>7</v>
      </c>
      <c r="M27" s="45">
        <v>12.5</v>
      </c>
      <c r="N27" s="45">
        <v>25</v>
      </c>
      <c r="O27" s="45">
        <v>25</v>
      </c>
      <c r="P27" s="45">
        <v>3</v>
      </c>
      <c r="Q27" s="45">
        <v>3</v>
      </c>
      <c r="R27" s="45">
        <v>3</v>
      </c>
      <c r="S27" s="45">
        <v>3</v>
      </c>
      <c r="T27" s="45">
        <v>3</v>
      </c>
      <c r="U27" s="45">
        <v>3</v>
      </c>
      <c r="V27" s="45">
        <v>3</v>
      </c>
      <c r="W27" s="45">
        <v>3</v>
      </c>
      <c r="X27" s="45">
        <v>3</v>
      </c>
      <c r="Y27" s="45">
        <v>3</v>
      </c>
      <c r="Z27" s="45">
        <v>12.5</v>
      </c>
      <c r="AA27" s="45">
        <v>12.5</v>
      </c>
      <c r="AB27" s="45">
        <v>12.5</v>
      </c>
      <c r="AC27" s="45">
        <v>12.5</v>
      </c>
      <c r="AD27" s="45">
        <v>4</v>
      </c>
      <c r="AE27" s="45">
        <v>0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16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12.4</v>
      </c>
      <c r="L28" s="45">
        <v>12.4</v>
      </c>
      <c r="M28" s="45">
        <v>14.7</v>
      </c>
      <c r="N28" s="45">
        <v>14.7</v>
      </c>
      <c r="O28" s="45">
        <v>23.3</v>
      </c>
      <c r="P28" s="45">
        <v>23.3</v>
      </c>
      <c r="Q28" s="45">
        <v>23.3</v>
      </c>
      <c r="R28" s="45">
        <v>23.3</v>
      </c>
      <c r="S28" s="45">
        <v>23.3</v>
      </c>
      <c r="T28" s="45">
        <v>23.3</v>
      </c>
      <c r="U28" s="45">
        <v>23.3</v>
      </c>
      <c r="V28" s="45">
        <v>23.3</v>
      </c>
      <c r="W28" s="45">
        <v>23.3</v>
      </c>
      <c r="X28" s="45">
        <v>23.3</v>
      </c>
      <c r="Y28" s="45">
        <v>23.3</v>
      </c>
      <c r="Z28" s="45">
        <v>23.3</v>
      </c>
      <c r="AA28" s="45">
        <v>23.3</v>
      </c>
      <c r="AB28" s="45">
        <v>24.9</v>
      </c>
      <c r="AC28" s="45">
        <v>24.9</v>
      </c>
      <c r="AD28" s="45">
        <v>24.9</v>
      </c>
      <c r="AE28" s="45">
        <v>24.5</v>
      </c>
      <c r="AF28" s="45">
        <v>24.5</v>
      </c>
      <c r="AG28" s="49">
        <v>23.5</v>
      </c>
      <c r="AH28" s="47">
        <f t="shared" si="2"/>
        <v>25.3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20</v>
      </c>
      <c r="G29" s="45">
        <v>11</v>
      </c>
      <c r="H29" s="45">
        <v>11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17</v>
      </c>
      <c r="AE32" s="45">
        <v>15</v>
      </c>
      <c r="AF32" s="45">
        <v>15</v>
      </c>
      <c r="AG32" s="49">
        <v>22</v>
      </c>
      <c r="AH32" s="47">
        <f t="shared" si="2"/>
        <v>22</v>
      </c>
      <c r="AI32" s="48">
        <f t="shared" si="3"/>
        <v>15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7</v>
      </c>
      <c r="L33" s="45">
        <v>7</v>
      </c>
      <c r="M33" s="45">
        <v>7</v>
      </c>
      <c r="N33" s="45">
        <v>7</v>
      </c>
      <c r="O33" s="45">
        <v>7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5</v>
      </c>
      <c r="Z33" s="45">
        <v>5</v>
      </c>
      <c r="AA33" s="45">
        <v>5</v>
      </c>
      <c r="AB33" s="45">
        <v>5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7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3.5</v>
      </c>
      <c r="Q34" s="45">
        <v>3.5</v>
      </c>
      <c r="R34" s="45">
        <v>3.5</v>
      </c>
      <c r="S34" s="45">
        <v>3.5</v>
      </c>
      <c r="T34" s="45">
        <v>3.5</v>
      </c>
      <c r="U34" s="45">
        <v>3.5</v>
      </c>
      <c r="V34" s="45">
        <v>3.5</v>
      </c>
      <c r="W34" s="45">
        <v>3.5</v>
      </c>
      <c r="X34" s="45">
        <v>3.5</v>
      </c>
      <c r="Y34" s="45">
        <v>3.5</v>
      </c>
      <c r="Z34" s="45">
        <v>3.5</v>
      </c>
      <c r="AA34" s="45">
        <v>3.5</v>
      </c>
      <c r="AB34" s="45">
        <v>3.5</v>
      </c>
      <c r="AC34" s="45">
        <v>3.5</v>
      </c>
      <c r="AD34" s="45">
        <v>3.5</v>
      </c>
      <c r="AE34" s="45">
        <v>0</v>
      </c>
      <c r="AF34" s="45">
        <v>0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3</v>
      </c>
      <c r="H39" s="45">
        <v>3</v>
      </c>
      <c r="I39" s="45">
        <v>3</v>
      </c>
      <c r="J39" s="45">
        <v>3</v>
      </c>
      <c r="K39" s="45">
        <v>5</v>
      </c>
      <c r="L39" s="45">
        <v>5</v>
      </c>
      <c r="M39" s="45">
        <v>6</v>
      </c>
      <c r="N39" s="45">
        <v>12</v>
      </c>
      <c r="O39" s="45">
        <v>12</v>
      </c>
      <c r="P39" s="45">
        <v>2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2</v>
      </c>
      <c r="X39" s="45">
        <v>2</v>
      </c>
      <c r="Y39" s="45">
        <v>2</v>
      </c>
      <c r="Z39" s="45">
        <v>6</v>
      </c>
      <c r="AA39" s="45">
        <v>6</v>
      </c>
      <c r="AB39" s="45">
        <v>6</v>
      </c>
      <c r="AC39" s="45">
        <v>3</v>
      </c>
      <c r="AD39" s="45">
        <v>3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0</v>
      </c>
      <c r="AE40" s="45">
        <v>4</v>
      </c>
      <c r="AF40" s="45">
        <v>4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54">
        <v>10</v>
      </c>
      <c r="AH46" s="47">
        <f t="shared" si="2"/>
        <v>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v>109.6</v>
      </c>
      <c r="C49" s="56">
        <v>109.6</v>
      </c>
      <c r="D49" s="56">
        <v>109.6</v>
      </c>
      <c r="E49" s="58">
        <v>110</v>
      </c>
      <c r="F49" s="58">
        <v>92.6</v>
      </c>
      <c r="G49" s="58">
        <v>91</v>
      </c>
      <c r="H49" s="58">
        <v>97</v>
      </c>
      <c r="I49" s="58">
        <v>100</v>
      </c>
      <c r="J49" s="58">
        <v>100</v>
      </c>
      <c r="K49" s="58">
        <v>100</v>
      </c>
      <c r="L49" s="58">
        <v>101</v>
      </c>
      <c r="M49" s="58">
        <v>101</v>
      </c>
      <c r="N49" s="58">
        <v>101</v>
      </c>
      <c r="O49" s="58">
        <v>101</v>
      </c>
      <c r="P49" s="58">
        <v>101</v>
      </c>
      <c r="Q49" s="58">
        <v>101</v>
      </c>
      <c r="R49" s="58">
        <v>101</v>
      </c>
      <c r="S49" s="58">
        <v>101</v>
      </c>
      <c r="T49" s="58">
        <v>101</v>
      </c>
      <c r="U49" s="58">
        <v>101</v>
      </c>
      <c r="V49" s="58">
        <v>101</v>
      </c>
      <c r="W49" s="58">
        <v>101</v>
      </c>
      <c r="X49" s="58">
        <v>101</v>
      </c>
      <c r="Y49" s="58">
        <v>101</v>
      </c>
      <c r="Z49" s="58">
        <v>101</v>
      </c>
      <c r="AA49" s="56">
        <v>101</v>
      </c>
      <c r="AB49" s="56">
        <v>99</v>
      </c>
      <c r="AC49" s="56">
        <v>99</v>
      </c>
      <c r="AD49" s="56">
        <v>99</v>
      </c>
      <c r="AE49" s="56">
        <v>99</v>
      </c>
      <c r="AF49" s="56">
        <v>99</v>
      </c>
      <c r="AG49" s="54">
        <v>240</v>
      </c>
      <c r="AH49" s="47">
        <f t="shared" si="2"/>
        <v>110</v>
      </c>
      <c r="AI49" s="48">
        <f t="shared" si="3"/>
        <v>91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1048.4000000000001</v>
      </c>
      <c r="C50" s="60">
        <f t="shared" si="4"/>
        <v>993.3</v>
      </c>
      <c r="D50" s="60">
        <f t="shared" si="4"/>
        <v>825.8</v>
      </c>
      <c r="E50" s="60">
        <f t="shared" si="4"/>
        <v>817.3</v>
      </c>
      <c r="F50" s="60">
        <f t="shared" si="4"/>
        <v>837</v>
      </c>
      <c r="G50" s="60">
        <f t="shared" si="4"/>
        <v>812.2</v>
      </c>
      <c r="H50" s="60">
        <f t="shared" si="4"/>
        <v>839.9</v>
      </c>
      <c r="I50" s="60">
        <f t="shared" si="4"/>
        <v>961.59999999999991</v>
      </c>
      <c r="J50" s="60">
        <f t="shared" si="4"/>
        <v>961.59999999999991</v>
      </c>
      <c r="K50" s="60">
        <f t="shared" si="4"/>
        <v>1031</v>
      </c>
      <c r="L50" s="60">
        <f t="shared" si="4"/>
        <v>1031.3</v>
      </c>
      <c r="M50" s="60">
        <f t="shared" si="4"/>
        <v>1046.3</v>
      </c>
      <c r="N50" s="60">
        <f t="shared" si="4"/>
        <v>1098.3</v>
      </c>
      <c r="O50" s="60">
        <f t="shared" si="4"/>
        <v>1136.3</v>
      </c>
      <c r="P50" s="60">
        <f t="shared" si="4"/>
        <v>1052.8</v>
      </c>
      <c r="Q50" s="60">
        <f t="shared" si="4"/>
        <v>1052.8</v>
      </c>
      <c r="R50" s="60">
        <f t="shared" si="4"/>
        <v>1052.8</v>
      </c>
      <c r="S50" s="60">
        <f t="shared" ref="S50:Z50" si="5">SUM(S11:S48)</f>
        <v>1037.0999999999999</v>
      </c>
      <c r="T50" s="60">
        <f t="shared" si="5"/>
        <v>1037.0999999999999</v>
      </c>
      <c r="U50" s="60">
        <f t="shared" si="5"/>
        <v>1037.0999999999999</v>
      </c>
      <c r="V50" s="60">
        <f t="shared" si="5"/>
        <v>1042.8</v>
      </c>
      <c r="W50" s="60">
        <f t="shared" si="5"/>
        <v>1042.8</v>
      </c>
      <c r="X50" s="60">
        <f t="shared" si="5"/>
        <v>1042.8</v>
      </c>
      <c r="Y50" s="60">
        <f t="shared" si="5"/>
        <v>1042.8</v>
      </c>
      <c r="Z50" s="60">
        <f t="shared" si="5"/>
        <v>1098</v>
      </c>
      <c r="AA50" s="60">
        <v>1098.2</v>
      </c>
      <c r="AB50" s="60">
        <f t="shared" si="4"/>
        <v>1098.5</v>
      </c>
      <c r="AC50" s="60">
        <f t="shared" si="4"/>
        <v>1093.5</v>
      </c>
      <c r="AD50" s="60">
        <f t="shared" si="4"/>
        <v>1052.3</v>
      </c>
      <c r="AE50" s="60">
        <f t="shared" si="4"/>
        <v>1033.4000000000001</v>
      </c>
      <c r="AF50" s="60">
        <f t="shared" si="4"/>
        <v>1033.4000000000001</v>
      </c>
      <c r="AG50" s="61">
        <f>SUM(AG13:AG48)</f>
        <v>922.14</v>
      </c>
      <c r="AH50" s="47">
        <f t="shared" si="2"/>
        <v>1136.3</v>
      </c>
      <c r="AI50" s="48">
        <f t="shared" si="3"/>
        <v>812.2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0</v>
      </c>
      <c r="D52" s="64">
        <v>0</v>
      </c>
      <c r="E52" s="64">
        <v>60</v>
      </c>
      <c r="F52" s="64">
        <v>30</v>
      </c>
      <c r="G52" s="64">
        <v>30</v>
      </c>
      <c r="H52" s="64">
        <v>30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</v>
      </c>
      <c r="F53" s="66">
        <v>22</v>
      </c>
      <c r="G53" s="66">
        <v>22</v>
      </c>
      <c r="H53" s="66">
        <v>22</v>
      </c>
      <c r="I53" s="66">
        <v>20.399999999999999</v>
      </c>
      <c r="J53" s="66">
        <v>20.399999999999999</v>
      </c>
      <c r="K53" s="66">
        <v>21.8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22.4</v>
      </c>
      <c r="AI53" s="48">
        <f t="shared" si="3"/>
        <v>20.399999999999999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538.4</v>
      </c>
      <c r="C54" s="60">
        <f t="shared" si="6"/>
        <v>478.4</v>
      </c>
      <c r="D54" s="60">
        <f t="shared" si="6"/>
        <v>478.4</v>
      </c>
      <c r="E54" s="60">
        <f t="shared" si="6"/>
        <v>538</v>
      </c>
      <c r="F54" s="60">
        <f t="shared" si="6"/>
        <v>508</v>
      </c>
      <c r="G54" s="60">
        <f t="shared" si="6"/>
        <v>508</v>
      </c>
      <c r="H54" s="60">
        <f t="shared" si="6"/>
        <v>508</v>
      </c>
      <c r="I54" s="60">
        <f t="shared" si="6"/>
        <v>536.4</v>
      </c>
      <c r="J54" s="60">
        <f t="shared" si="6"/>
        <v>536.4</v>
      </c>
      <c r="K54" s="60">
        <f t="shared" si="6"/>
        <v>537.79999999999995</v>
      </c>
      <c r="L54" s="60">
        <f t="shared" si="6"/>
        <v>538</v>
      </c>
      <c r="M54" s="60">
        <f t="shared" si="6"/>
        <v>538</v>
      </c>
      <c r="N54" s="60">
        <f t="shared" si="6"/>
        <v>538</v>
      </c>
      <c r="O54" s="60">
        <f t="shared" si="6"/>
        <v>538</v>
      </c>
      <c r="P54" s="60">
        <f t="shared" si="6"/>
        <v>538</v>
      </c>
      <c r="Q54" s="60">
        <f t="shared" si="6"/>
        <v>538</v>
      </c>
      <c r="R54" s="60">
        <f t="shared" si="6"/>
        <v>538</v>
      </c>
      <c r="S54" s="60">
        <f t="shared" ref="S54:Z54" si="7">SUM(S51:S53)</f>
        <v>538</v>
      </c>
      <c r="T54" s="60">
        <f t="shared" si="7"/>
        <v>538</v>
      </c>
      <c r="U54" s="60">
        <f t="shared" si="7"/>
        <v>538</v>
      </c>
      <c r="V54" s="60">
        <f t="shared" si="7"/>
        <v>538</v>
      </c>
      <c r="W54" s="60">
        <f t="shared" si="7"/>
        <v>538</v>
      </c>
      <c r="X54" s="60">
        <f t="shared" si="7"/>
        <v>538</v>
      </c>
      <c r="Y54" s="60">
        <f t="shared" si="7"/>
        <v>538</v>
      </c>
      <c r="Z54" s="60">
        <f t="shared" si="7"/>
        <v>538</v>
      </c>
      <c r="AA54" s="60">
        <v>538</v>
      </c>
      <c r="AB54" s="60">
        <f t="shared" si="6"/>
        <v>538</v>
      </c>
      <c r="AC54" s="60">
        <f t="shared" si="6"/>
        <v>538</v>
      </c>
      <c r="AD54" s="60">
        <f t="shared" si="6"/>
        <v>538</v>
      </c>
      <c r="AE54" s="60">
        <f t="shared" si="6"/>
        <v>538</v>
      </c>
      <c r="AF54" s="60">
        <f t="shared" si="6"/>
        <v>538</v>
      </c>
      <c r="AG54" s="61">
        <f t="shared" si="6"/>
        <v>538.1</v>
      </c>
      <c r="AH54" s="47">
        <f t="shared" si="2"/>
        <v>538.4</v>
      </c>
      <c r="AI54" s="48">
        <f t="shared" si="3"/>
        <v>478.4</v>
      </c>
      <c r="AK54" s="50"/>
    </row>
    <row r="55" spans="1:41" x14ac:dyDescent="0.25">
      <c r="A55" s="44" t="s">
        <v>63</v>
      </c>
      <c r="B55" s="45">
        <v>123.4</v>
      </c>
      <c r="C55" s="45">
        <v>123.4</v>
      </c>
      <c r="D55" s="45">
        <v>134</v>
      </c>
      <c r="E55" s="45">
        <v>131.6</v>
      </c>
      <c r="F55" s="45">
        <v>126</v>
      </c>
      <c r="G55" s="45">
        <v>134.5</v>
      </c>
      <c r="H55" s="45">
        <v>134</v>
      </c>
      <c r="I55" s="45">
        <v>120.9</v>
      </c>
      <c r="J55" s="45">
        <v>133</v>
      </c>
      <c r="K55" s="45">
        <v>133</v>
      </c>
      <c r="L55" s="45">
        <v>132.80000000000001</v>
      </c>
      <c r="M55" s="45">
        <v>121.12</v>
      </c>
      <c r="N55" s="45">
        <v>43.9</v>
      </c>
      <c r="O55" s="45">
        <v>0</v>
      </c>
      <c r="P55" s="45">
        <v>131</v>
      </c>
      <c r="Q55" s="45">
        <v>130.5</v>
      </c>
      <c r="R55" s="45">
        <v>130.5</v>
      </c>
      <c r="S55" s="45">
        <v>131.1</v>
      </c>
      <c r="T55" s="45">
        <v>131.1</v>
      </c>
      <c r="U55" s="45"/>
      <c r="V55" s="45">
        <v>120</v>
      </c>
      <c r="W55" s="45">
        <v>120</v>
      </c>
      <c r="X55" s="45">
        <v>120</v>
      </c>
      <c r="Y55" s="45">
        <v>120</v>
      </c>
      <c r="Z55" s="45">
        <v>120</v>
      </c>
      <c r="AA55" s="45">
        <v>130</v>
      </c>
      <c r="AB55" s="45">
        <v>130</v>
      </c>
      <c r="AC55" s="45">
        <v>120</v>
      </c>
      <c r="AD55" s="45">
        <v>120</v>
      </c>
      <c r="AE55" s="45">
        <v>120</v>
      </c>
      <c r="AF55" s="45">
        <v>110</v>
      </c>
      <c r="AG55" s="51">
        <v>144</v>
      </c>
      <c r="AH55" s="47">
        <f t="shared" si="2"/>
        <v>134.5</v>
      </c>
      <c r="AI55" s="48">
        <f t="shared" si="3"/>
        <v>0</v>
      </c>
      <c r="AK55" s="50"/>
    </row>
    <row r="56" spans="1:41" x14ac:dyDescent="0.25">
      <c r="A56" s="53" t="s">
        <v>64</v>
      </c>
      <c r="B56" s="64">
        <v>69.8</v>
      </c>
      <c r="C56" s="64">
        <v>69.8</v>
      </c>
      <c r="D56" s="64">
        <v>69.8</v>
      </c>
      <c r="E56" s="64">
        <v>61.6</v>
      </c>
      <c r="F56" s="64">
        <v>51.5</v>
      </c>
      <c r="G56" s="64">
        <v>70</v>
      </c>
      <c r="H56" s="64">
        <v>70.2</v>
      </c>
      <c r="I56" s="64">
        <v>52.5</v>
      </c>
      <c r="J56" s="64">
        <v>70.900000000000006</v>
      </c>
      <c r="K56" s="64">
        <v>70</v>
      </c>
      <c r="L56" s="64">
        <v>70.5</v>
      </c>
      <c r="M56" s="64">
        <v>68.900000000000006</v>
      </c>
      <c r="N56" s="64">
        <v>68.900000000000006</v>
      </c>
      <c r="O56" s="64">
        <v>70</v>
      </c>
      <c r="P56" s="64">
        <v>70.099999999999994</v>
      </c>
      <c r="Q56" s="64">
        <v>69.599999999999994</v>
      </c>
      <c r="R56" s="64">
        <v>69.599999999999994</v>
      </c>
      <c r="S56" s="64">
        <v>69.599999999999994</v>
      </c>
      <c r="T56" s="64">
        <v>69.599999999999994</v>
      </c>
      <c r="U56" s="64">
        <v>64.8</v>
      </c>
      <c r="V56" s="64">
        <v>70</v>
      </c>
      <c r="W56" s="64">
        <v>70</v>
      </c>
      <c r="X56" s="64">
        <v>70</v>
      </c>
      <c r="Y56" s="64">
        <v>70</v>
      </c>
      <c r="Z56" s="64">
        <v>70</v>
      </c>
      <c r="AA56" s="45">
        <v>72.099999999999994</v>
      </c>
      <c r="AB56" s="45">
        <v>66</v>
      </c>
      <c r="AC56" s="45">
        <v>65.3</v>
      </c>
      <c r="AD56" s="45">
        <v>65.3</v>
      </c>
      <c r="AE56" s="45">
        <v>65.3</v>
      </c>
      <c r="AF56" s="45">
        <v>50.5</v>
      </c>
      <c r="AG56" s="54">
        <v>70</v>
      </c>
      <c r="AH56" s="47">
        <f t="shared" si="2"/>
        <v>72.099999999999994</v>
      </c>
      <c r="AI56" s="48">
        <f t="shared" si="3"/>
        <v>50.5</v>
      </c>
      <c r="AK56" s="50"/>
    </row>
    <row r="57" spans="1:41" x14ac:dyDescent="0.25">
      <c r="A57" s="53" t="s">
        <v>65</v>
      </c>
      <c r="B57" s="64">
        <v>52.6</v>
      </c>
      <c r="C57" s="64">
        <v>64.3</v>
      </c>
      <c r="D57" s="64">
        <v>64.3</v>
      </c>
      <c r="E57" s="64">
        <v>63.3</v>
      </c>
      <c r="F57" s="64">
        <v>61</v>
      </c>
      <c r="G57" s="64">
        <v>63.3</v>
      </c>
      <c r="H57" s="64">
        <v>63.2</v>
      </c>
      <c r="I57" s="64">
        <v>63.4</v>
      </c>
      <c r="J57" s="64">
        <v>63.5</v>
      </c>
      <c r="K57" s="64">
        <v>64</v>
      </c>
      <c r="L57" s="64">
        <v>64.3</v>
      </c>
      <c r="M57" s="64">
        <v>50</v>
      </c>
      <c r="N57" s="64">
        <v>62.3</v>
      </c>
      <c r="O57" s="64">
        <v>62.9</v>
      </c>
      <c r="P57" s="64">
        <v>63.5</v>
      </c>
      <c r="Q57" s="64">
        <v>62.9</v>
      </c>
      <c r="R57" s="64">
        <v>62.9</v>
      </c>
      <c r="S57" s="64">
        <v>62.9</v>
      </c>
      <c r="T57" s="64">
        <v>62.9</v>
      </c>
      <c r="U57" s="64">
        <v>52.4</v>
      </c>
      <c r="V57" s="64">
        <v>63.6</v>
      </c>
      <c r="W57" s="64">
        <v>62.85</v>
      </c>
      <c r="X57" s="64">
        <v>62.85</v>
      </c>
      <c r="Y57" s="64">
        <v>62.85</v>
      </c>
      <c r="Z57" s="64">
        <v>52.2</v>
      </c>
      <c r="AA57" s="45">
        <v>52.9</v>
      </c>
      <c r="AB57" s="45">
        <v>49.6</v>
      </c>
      <c r="AC57" s="45">
        <v>61.3</v>
      </c>
      <c r="AD57" s="45">
        <v>61.3</v>
      </c>
      <c r="AE57" s="45">
        <v>61.3</v>
      </c>
      <c r="AF57" s="45">
        <v>55</v>
      </c>
      <c r="AG57" s="54">
        <v>69</v>
      </c>
      <c r="AH57" s="47">
        <f t="shared" si="2"/>
        <v>64.3</v>
      </c>
      <c r="AI57" s="48">
        <f t="shared" si="3"/>
        <v>49.6</v>
      </c>
      <c r="AK57" s="50"/>
    </row>
    <row r="58" spans="1:41" x14ac:dyDescent="0.25">
      <c r="A58" s="53" t="s">
        <v>66</v>
      </c>
      <c r="B58" s="64">
        <v>60.9</v>
      </c>
      <c r="C58" s="64">
        <v>60.9</v>
      </c>
      <c r="D58" s="64">
        <v>51</v>
      </c>
      <c r="E58" s="56">
        <v>59</v>
      </c>
      <c r="F58" s="56">
        <v>59</v>
      </c>
      <c r="G58" s="56">
        <v>61.4</v>
      </c>
      <c r="H58" s="56">
        <v>61.7</v>
      </c>
      <c r="I58" s="56">
        <v>54.9</v>
      </c>
      <c r="J58" s="56">
        <v>60.7</v>
      </c>
      <c r="K58" s="56">
        <v>60</v>
      </c>
      <c r="L58" s="56">
        <v>60</v>
      </c>
      <c r="M58" s="64">
        <v>60</v>
      </c>
      <c r="N58" s="64">
        <v>60</v>
      </c>
      <c r="O58" s="64">
        <v>0</v>
      </c>
      <c r="P58" s="64">
        <v>43.6</v>
      </c>
      <c r="Q58" s="64">
        <v>42.6</v>
      </c>
      <c r="R58" s="64">
        <v>42.6</v>
      </c>
      <c r="S58" s="64">
        <v>52.9</v>
      </c>
      <c r="T58" s="64">
        <v>52.9</v>
      </c>
      <c r="U58" s="64">
        <v>60.9</v>
      </c>
      <c r="V58" s="64">
        <v>60.9</v>
      </c>
      <c r="W58" s="64">
        <v>60.9</v>
      </c>
      <c r="X58" s="64">
        <v>60.9</v>
      </c>
      <c r="Y58" s="64">
        <v>60.9</v>
      </c>
      <c r="Z58" s="64">
        <v>60.9</v>
      </c>
      <c r="AA58" s="45">
        <v>60.9</v>
      </c>
      <c r="AB58" s="45">
        <v>51.9</v>
      </c>
      <c r="AC58" s="45">
        <v>51.6</v>
      </c>
      <c r="AD58" s="45">
        <v>51.6</v>
      </c>
      <c r="AE58" s="45">
        <v>22</v>
      </c>
      <c r="AF58" s="45">
        <v>21.7</v>
      </c>
      <c r="AG58" s="54">
        <v>60</v>
      </c>
      <c r="AH58" s="47">
        <f t="shared" si="2"/>
        <v>61.7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0</v>
      </c>
      <c r="C59" s="64">
        <v>0</v>
      </c>
      <c r="D59" s="64">
        <v>0</v>
      </c>
      <c r="E59" s="56">
        <v>0</v>
      </c>
      <c r="F59" s="56">
        <v>0</v>
      </c>
      <c r="G59" s="56">
        <v>0</v>
      </c>
      <c r="H59" s="56">
        <v>0</v>
      </c>
      <c r="I59" s="56">
        <v>0</v>
      </c>
      <c r="J59" s="56">
        <v>0</v>
      </c>
      <c r="K59" s="56">
        <v>0</v>
      </c>
      <c r="L59" s="56">
        <v>0</v>
      </c>
      <c r="M59" s="64">
        <v>0</v>
      </c>
      <c r="N59" s="64">
        <v>0</v>
      </c>
      <c r="O59" s="64">
        <v>0</v>
      </c>
      <c r="P59" s="64">
        <v>0</v>
      </c>
      <c r="Q59" s="64">
        <v>0</v>
      </c>
      <c r="R59" s="64">
        <v>0</v>
      </c>
      <c r="S59" s="64">
        <v>28</v>
      </c>
      <c r="T59" s="64">
        <v>28</v>
      </c>
      <c r="U59" s="64">
        <v>28</v>
      </c>
      <c r="V59" s="64">
        <v>28</v>
      </c>
      <c r="W59" s="64">
        <v>28</v>
      </c>
      <c r="X59" s="64">
        <v>28</v>
      </c>
      <c r="Y59" s="64">
        <v>28</v>
      </c>
      <c r="Z59" s="64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0</v>
      </c>
      <c r="O60" s="64">
        <v>0</v>
      </c>
      <c r="P60" s="64">
        <v>0</v>
      </c>
      <c r="Q60" s="64">
        <v>0</v>
      </c>
      <c r="R60" s="64">
        <v>0</v>
      </c>
      <c r="S60" s="64">
        <v>13.5</v>
      </c>
      <c r="T60" s="64">
        <v>6.9</v>
      </c>
      <c r="U60" s="64">
        <v>1.6</v>
      </c>
      <c r="V60" s="64">
        <v>0.5</v>
      </c>
      <c r="W60" s="64">
        <v>0.3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13.5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9</v>
      </c>
      <c r="C61" s="64">
        <v>9</v>
      </c>
      <c r="D61" s="64">
        <v>9</v>
      </c>
      <c r="E61" s="64">
        <v>9</v>
      </c>
      <c r="F61" s="64">
        <v>9</v>
      </c>
      <c r="G61" s="64">
        <v>9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13</v>
      </c>
      <c r="Z61" s="64">
        <v>13</v>
      </c>
      <c r="AA61" s="64">
        <v>13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9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4.5999999999999996</v>
      </c>
      <c r="Q62" s="64">
        <v>4.5999999999999996</v>
      </c>
      <c r="R62" s="64">
        <v>4.5999999999999996</v>
      </c>
      <c r="S62" s="64">
        <v>4.5999999999999996</v>
      </c>
      <c r="T62" s="64">
        <v>4.5999999999999996</v>
      </c>
      <c r="U62" s="64">
        <v>4.5999999999999996</v>
      </c>
      <c r="V62" s="64">
        <v>4.5999999999999996</v>
      </c>
      <c r="W62" s="64">
        <v>4.5999999999999996</v>
      </c>
      <c r="X62" s="64">
        <v>4.5999999999999996</v>
      </c>
      <c r="Y62" s="64">
        <v>4.5999999999999996</v>
      </c>
      <c r="Z62" s="64">
        <v>4.5999999999999996</v>
      </c>
      <c r="AA62" s="64">
        <v>4.5999999999999996</v>
      </c>
      <c r="AB62" s="64">
        <v>4.5999999999999996</v>
      </c>
      <c r="AC62" s="64">
        <v>4.5999999999999996</v>
      </c>
      <c r="AD62" s="64">
        <v>4.5999999999999996</v>
      </c>
      <c r="AE62" s="64">
        <v>4.5999999999999996</v>
      </c>
      <c r="AF62" s="64">
        <v>4.5999999999999996</v>
      </c>
      <c r="AG62" s="54">
        <v>15</v>
      </c>
      <c r="AH62" s="47">
        <f t="shared" si="2"/>
        <v>4.5999999999999996</v>
      </c>
      <c r="AI62" s="48">
        <f t="shared" si="3"/>
        <v>4.5999999999999996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6.5</v>
      </c>
      <c r="C63" s="64">
        <v>6.5</v>
      </c>
      <c r="D63" s="64">
        <v>6.5</v>
      </c>
      <c r="E63" s="64">
        <v>6.5</v>
      </c>
      <c r="F63" s="64">
        <v>6.5</v>
      </c>
      <c r="G63" s="64">
        <v>6.5</v>
      </c>
      <c r="H63" s="64">
        <v>6.5</v>
      </c>
      <c r="I63" s="64">
        <v>9.6</v>
      </c>
      <c r="J63" s="64">
        <v>9.6</v>
      </c>
      <c r="K63" s="64">
        <v>9.6</v>
      </c>
      <c r="L63" s="64">
        <v>9.6</v>
      </c>
      <c r="M63" s="64">
        <v>9.6</v>
      </c>
      <c r="N63" s="64">
        <v>9.6</v>
      </c>
      <c r="O63" s="64">
        <v>9.6</v>
      </c>
      <c r="P63" s="64">
        <v>9.6</v>
      </c>
      <c r="Q63" s="64">
        <v>9.6</v>
      </c>
      <c r="R63" s="64">
        <v>9.6</v>
      </c>
      <c r="S63" s="64">
        <v>10.7</v>
      </c>
      <c r="T63" s="64">
        <v>10.7</v>
      </c>
      <c r="U63" s="64">
        <v>9.1999999999999993</v>
      </c>
      <c r="V63" s="64">
        <v>9.1999999999999993</v>
      </c>
      <c r="W63" s="64">
        <v>9.1999999999999993</v>
      </c>
      <c r="X63" s="64">
        <v>0</v>
      </c>
      <c r="Y63" s="64">
        <v>11.6</v>
      </c>
      <c r="Z63" s="64">
        <v>11.6</v>
      </c>
      <c r="AA63" s="64">
        <v>11.6</v>
      </c>
      <c r="AB63" s="64">
        <v>11.6</v>
      </c>
      <c r="AC63" s="64">
        <v>11.6</v>
      </c>
      <c r="AD63" s="64">
        <v>11.6</v>
      </c>
      <c r="AE63" s="64">
        <v>11.6</v>
      </c>
      <c r="AF63" s="64">
        <v>11.6</v>
      </c>
      <c r="AG63" s="54">
        <v>14.1</v>
      </c>
      <c r="AH63" s="47">
        <f t="shared" si="2"/>
        <v>11.6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4.0999999999999996</v>
      </c>
      <c r="C64" s="64">
        <v>4.0999999999999996</v>
      </c>
      <c r="D64" s="64">
        <v>4.0999999999999996</v>
      </c>
      <c r="E64" s="64">
        <v>4.0999999999999996</v>
      </c>
      <c r="F64" s="64">
        <v>1.5</v>
      </c>
      <c r="G64" s="64">
        <v>13.4</v>
      </c>
      <c r="H64" s="64">
        <v>13.4</v>
      </c>
      <c r="I64" s="64">
        <v>4.5999999999999996</v>
      </c>
      <c r="J64" s="64">
        <v>4.5999999999999996</v>
      </c>
      <c r="K64" s="64">
        <v>4.5999999999999996</v>
      </c>
      <c r="L64" s="64">
        <v>4.5999999999999996</v>
      </c>
      <c r="M64" s="64">
        <v>4.5999999999999996</v>
      </c>
      <c r="N64" s="64">
        <v>4.5999999999999996</v>
      </c>
      <c r="O64" s="64">
        <v>4.5999999999999996</v>
      </c>
      <c r="P64" s="64">
        <v>4.5999999999999996</v>
      </c>
      <c r="Q64" s="64">
        <v>4.5999999999999996</v>
      </c>
      <c r="R64" s="64">
        <v>4.5999999999999996</v>
      </c>
      <c r="S64" s="64">
        <v>6.5</v>
      </c>
      <c r="T64" s="64">
        <v>6.5</v>
      </c>
      <c r="U64" s="64">
        <v>6.6</v>
      </c>
      <c r="V64" s="64">
        <v>6.6</v>
      </c>
      <c r="W64" s="64">
        <v>6.6</v>
      </c>
      <c r="X64" s="64">
        <v>1.9</v>
      </c>
      <c r="Y64" s="64">
        <v>9.9</v>
      </c>
      <c r="Z64" s="64">
        <v>9.9</v>
      </c>
      <c r="AA64" s="64">
        <v>11.8</v>
      </c>
      <c r="AB64" s="64">
        <v>11.8</v>
      </c>
      <c r="AC64" s="64">
        <v>2.9</v>
      </c>
      <c r="AD64" s="64">
        <v>2.9</v>
      </c>
      <c r="AE64" s="64">
        <v>10.9</v>
      </c>
      <c r="AF64" s="64">
        <v>9.6</v>
      </c>
      <c r="AG64" s="54">
        <v>14</v>
      </c>
      <c r="AH64" s="47">
        <f t="shared" si="2"/>
        <v>13.4</v>
      </c>
      <c r="AI64" s="48">
        <f t="shared" si="3"/>
        <v>1.5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0</v>
      </c>
      <c r="F65" s="64">
        <v>0</v>
      </c>
      <c r="G65" s="64">
        <v>0</v>
      </c>
      <c r="H65" s="64">
        <v>6</v>
      </c>
      <c r="I65" s="64">
        <v>9</v>
      </c>
      <c r="J65" s="64">
        <v>9</v>
      </c>
      <c r="K65" s="64">
        <v>6.5</v>
      </c>
      <c r="L65" s="64">
        <v>6.5</v>
      </c>
      <c r="M65" s="64">
        <v>6.5</v>
      </c>
      <c r="N65" s="64">
        <v>6.5</v>
      </c>
      <c r="O65" s="64">
        <v>6.5</v>
      </c>
      <c r="P65" s="64">
        <v>6.5</v>
      </c>
      <c r="Q65" s="64">
        <v>6.5</v>
      </c>
      <c r="R65" s="64">
        <v>6.5</v>
      </c>
      <c r="S65" s="64">
        <v>6.5</v>
      </c>
      <c r="T65" s="64">
        <v>6.5</v>
      </c>
      <c r="U65" s="64">
        <v>6.5</v>
      </c>
      <c r="V65" s="64">
        <v>6.5</v>
      </c>
      <c r="W65" s="64">
        <v>6.5</v>
      </c>
      <c r="X65" s="64">
        <v>6.5</v>
      </c>
      <c r="Y65" s="64">
        <v>6.5</v>
      </c>
      <c r="Z65" s="64">
        <v>6.5</v>
      </c>
      <c r="AA65" s="64">
        <v>6.5</v>
      </c>
      <c r="AB65" s="64">
        <v>6.5</v>
      </c>
      <c r="AC65" s="64">
        <v>6.5</v>
      </c>
      <c r="AD65" s="64">
        <v>6.5</v>
      </c>
      <c r="AE65" s="64">
        <v>6.5</v>
      </c>
      <c r="AF65" s="64">
        <v>6.5</v>
      </c>
      <c r="AG65" s="54">
        <v>10.050000000000001</v>
      </c>
      <c r="AH65" s="47">
        <f t="shared" si="2"/>
        <v>9</v>
      </c>
      <c r="AI65" s="48">
        <f t="shared" si="3"/>
        <v>0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349.64000000000004</v>
      </c>
      <c r="C68" s="60">
        <f t="shared" si="8"/>
        <v>361.34000000000003</v>
      </c>
      <c r="D68" s="60">
        <f t="shared" si="8"/>
        <v>362.04000000000008</v>
      </c>
      <c r="E68" s="60">
        <f t="shared" si="8"/>
        <v>349.44000000000005</v>
      </c>
      <c r="F68" s="60">
        <f t="shared" si="8"/>
        <v>328.84000000000003</v>
      </c>
      <c r="G68" s="60">
        <f t="shared" si="8"/>
        <v>372.44</v>
      </c>
      <c r="H68" s="60">
        <f t="shared" si="8"/>
        <v>382.34</v>
      </c>
      <c r="I68" s="60">
        <f t="shared" si="8"/>
        <v>342.24000000000007</v>
      </c>
      <c r="J68" s="60">
        <f t="shared" si="8"/>
        <v>378.64000000000004</v>
      </c>
      <c r="K68" s="60">
        <f t="shared" si="8"/>
        <v>375.04000000000008</v>
      </c>
      <c r="L68" s="60">
        <f t="shared" si="8"/>
        <v>375.6400000000001</v>
      </c>
      <c r="M68" s="60">
        <f t="shared" si="8"/>
        <v>348.06000000000006</v>
      </c>
      <c r="N68" s="60">
        <f t="shared" si="8"/>
        <v>283.14000000000004</v>
      </c>
      <c r="O68" s="60">
        <f t="shared" si="8"/>
        <v>180.93999999999997</v>
      </c>
      <c r="P68" s="60">
        <f t="shared" si="8"/>
        <v>356.24000000000012</v>
      </c>
      <c r="Q68" s="60">
        <f t="shared" si="8"/>
        <v>353.6400000000001</v>
      </c>
      <c r="R68" s="60">
        <f t="shared" si="8"/>
        <v>353.6400000000001</v>
      </c>
      <c r="S68" s="60">
        <f t="shared" ref="S68:Z68" si="9">SUM(S55:S67)</f>
        <v>409.03999999999996</v>
      </c>
      <c r="T68" s="60">
        <f t="shared" si="9"/>
        <v>402.43999999999994</v>
      </c>
      <c r="U68" s="60">
        <f t="shared" si="9"/>
        <v>257.33999999999997</v>
      </c>
      <c r="V68" s="60">
        <f t="shared" si="9"/>
        <v>392.64000000000004</v>
      </c>
      <c r="W68" s="60">
        <f t="shared" si="9"/>
        <v>391.69000000000005</v>
      </c>
      <c r="X68" s="60">
        <f t="shared" si="9"/>
        <v>377.49</v>
      </c>
      <c r="Y68" s="60">
        <f t="shared" si="9"/>
        <v>397.09000000000003</v>
      </c>
      <c r="Z68" s="60">
        <f t="shared" si="9"/>
        <v>386.44</v>
      </c>
      <c r="AA68" s="60">
        <v>401.14000000000004</v>
      </c>
      <c r="AB68" s="60">
        <f t="shared" si="8"/>
        <v>382.74000000000007</v>
      </c>
      <c r="AC68" s="60">
        <f t="shared" si="8"/>
        <v>374.54000000000008</v>
      </c>
      <c r="AD68" s="60">
        <f t="shared" si="8"/>
        <v>374.54000000000008</v>
      </c>
      <c r="AE68" s="60">
        <f t="shared" si="8"/>
        <v>352.94000000000005</v>
      </c>
      <c r="AF68" s="60">
        <f t="shared" si="8"/>
        <v>320.24000000000007</v>
      </c>
      <c r="AG68" s="61">
        <f t="shared" si="8"/>
        <v>489.91</v>
      </c>
      <c r="AH68" s="47">
        <f t="shared" si="2"/>
        <v>409.03999999999996</v>
      </c>
      <c r="AI68" s="48">
        <f t="shared" si="3"/>
        <v>180.93999999999997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0">M69+M70+M71</f>
        <v>0</v>
      </c>
      <c r="N72" s="60">
        <f t="shared" si="10"/>
        <v>0</v>
      </c>
      <c r="O72" s="60">
        <f t="shared" si="10"/>
        <v>0</v>
      </c>
      <c r="P72" s="60">
        <f t="shared" si="10"/>
        <v>0</v>
      </c>
      <c r="Q72" s="60">
        <f t="shared" si="10"/>
        <v>0</v>
      </c>
      <c r="R72" s="60">
        <f t="shared" si="10"/>
        <v>0</v>
      </c>
      <c r="S72" s="60">
        <f t="shared" ref="S72:Z72" si="11">S69+S70+S71</f>
        <v>0</v>
      </c>
      <c r="T72" s="60">
        <f t="shared" si="11"/>
        <v>0</v>
      </c>
      <c r="U72" s="60">
        <f t="shared" si="11"/>
        <v>0</v>
      </c>
      <c r="V72" s="60">
        <f t="shared" si="11"/>
        <v>0</v>
      </c>
      <c r="W72" s="60">
        <f t="shared" si="11"/>
        <v>0</v>
      </c>
      <c r="X72" s="60">
        <f t="shared" si="11"/>
        <v>0</v>
      </c>
      <c r="Y72" s="60">
        <f t="shared" si="11"/>
        <v>0</v>
      </c>
      <c r="Z72" s="60">
        <f t="shared" si="11"/>
        <v>0</v>
      </c>
      <c r="AA72" s="60">
        <v>0</v>
      </c>
      <c r="AB72" s="60">
        <f t="shared" si="10"/>
        <v>0</v>
      </c>
      <c r="AC72" s="60">
        <f t="shared" si="10"/>
        <v>0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-0.7</v>
      </c>
      <c r="C73" s="45">
        <v>-4.9000000000000004</v>
      </c>
      <c r="D73" s="45">
        <v>-9.1999999999999993</v>
      </c>
      <c r="E73" s="45">
        <v>-36</v>
      </c>
      <c r="F73" s="45">
        <v>-14</v>
      </c>
      <c r="G73" s="45">
        <v>-2</v>
      </c>
      <c r="H73" s="45">
        <v>-5.7</v>
      </c>
      <c r="I73" s="45">
        <v>-25</v>
      </c>
      <c r="J73" s="45">
        <v>-24</v>
      </c>
      <c r="K73" s="45">
        <v>-15</v>
      </c>
      <c r="L73" s="45">
        <v>-7</v>
      </c>
      <c r="M73" s="45">
        <v>-20</v>
      </c>
      <c r="N73" s="45">
        <v>15.8</v>
      </c>
      <c r="O73" s="45">
        <v>1.6</v>
      </c>
      <c r="P73" s="45">
        <v>-18.5</v>
      </c>
      <c r="Q73" s="45">
        <v>-12</v>
      </c>
      <c r="R73" s="45">
        <v>-24</v>
      </c>
      <c r="S73" s="45">
        <v>-26.9</v>
      </c>
      <c r="T73" s="45">
        <v>-26</v>
      </c>
      <c r="U73" s="45">
        <v>-26.1</v>
      </c>
      <c r="V73" s="45">
        <v>-35.1</v>
      </c>
      <c r="W73" s="45">
        <v>-24.5</v>
      </c>
      <c r="X73" s="45">
        <v>-25.9</v>
      </c>
      <c r="Y73" s="45">
        <v>-20.3</v>
      </c>
      <c r="Z73" s="45">
        <v>-3.3</v>
      </c>
      <c r="AA73" s="45">
        <v>-5.2</v>
      </c>
      <c r="AB73" s="45">
        <v>-7.2</v>
      </c>
      <c r="AC73" s="45">
        <v>-6.6</v>
      </c>
      <c r="AD73" s="45">
        <v>-5.2</v>
      </c>
      <c r="AE73" s="45">
        <v>-15.1</v>
      </c>
      <c r="AF73" s="45">
        <v>-33.200000000000003</v>
      </c>
      <c r="AG73" s="51"/>
      <c r="AH73" s="47">
        <f t="shared" si="2"/>
        <v>15.8</v>
      </c>
      <c r="AI73" s="48">
        <f t="shared" si="3"/>
        <v>-36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 t="s">
        <v>278</v>
      </c>
      <c r="AB74" s="64"/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-375</v>
      </c>
      <c r="C75" s="64">
        <v>-343</v>
      </c>
      <c r="D75" s="64">
        <v>-288</v>
      </c>
      <c r="E75" s="64">
        <v>-272.7</v>
      </c>
      <c r="F75" s="64">
        <v>-289.5</v>
      </c>
      <c r="G75" s="64">
        <v>-322</v>
      </c>
      <c r="H75" s="64">
        <v>-373.8</v>
      </c>
      <c r="I75" s="64">
        <v>-476</v>
      </c>
      <c r="J75" s="64">
        <v>-482</v>
      </c>
      <c r="K75" s="64">
        <v>-472.8</v>
      </c>
      <c r="L75" s="64">
        <v>-502</v>
      </c>
      <c r="M75" s="64">
        <v>-470</v>
      </c>
      <c r="N75" s="64">
        <v>-461</v>
      </c>
      <c r="O75" s="64">
        <v>-493</v>
      </c>
      <c r="P75" s="64">
        <v>-502</v>
      </c>
      <c r="Q75" s="64">
        <v>-496</v>
      </c>
      <c r="R75" s="64">
        <v>-512</v>
      </c>
      <c r="S75" s="64">
        <v>-506.2</v>
      </c>
      <c r="T75" s="64">
        <v>-506</v>
      </c>
      <c r="U75" s="64">
        <v>-475.1</v>
      </c>
      <c r="V75" s="64">
        <v>-492.6</v>
      </c>
      <c r="W75" s="64">
        <v>-521.4</v>
      </c>
      <c r="X75" s="64">
        <v>-466.4</v>
      </c>
      <c r="Y75" s="64">
        <v>-399.7</v>
      </c>
      <c r="Z75" s="64">
        <v>-403.9</v>
      </c>
      <c r="AA75" s="64">
        <v>-410.2</v>
      </c>
      <c r="AB75" s="64">
        <v>-432.7</v>
      </c>
      <c r="AC75" s="64">
        <v>-408.9</v>
      </c>
      <c r="AD75" s="64">
        <v>-436.3</v>
      </c>
      <c r="AE75" s="64">
        <v>-473</v>
      </c>
      <c r="AF75" s="64">
        <v>-434.2</v>
      </c>
      <c r="AG75" s="74"/>
      <c r="AH75" s="47">
        <f t="shared" si="2"/>
        <v>-272.7</v>
      </c>
      <c r="AI75" s="48">
        <f t="shared" si="3"/>
        <v>-521.4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12"/>
        <v>0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0</v>
      </c>
      <c r="C84" s="60">
        <f t="shared" si="14"/>
        <v>0</v>
      </c>
      <c r="D84" s="60">
        <f t="shared" si="14"/>
        <v>0</v>
      </c>
      <c r="E84" s="60">
        <f t="shared" si="14"/>
        <v>0</v>
      </c>
      <c r="F84" s="60">
        <f t="shared" si="14"/>
        <v>0</v>
      </c>
      <c r="G84" s="60">
        <f t="shared" si="14"/>
        <v>0</v>
      </c>
      <c r="H84" s="60">
        <f t="shared" si="14"/>
        <v>0</v>
      </c>
      <c r="I84" s="60">
        <f t="shared" si="14"/>
        <v>0</v>
      </c>
      <c r="J84" s="60">
        <f t="shared" si="14"/>
        <v>0</v>
      </c>
      <c r="K84" s="60">
        <f t="shared" si="14"/>
        <v>0</v>
      </c>
      <c r="L84" s="60">
        <f t="shared" si="14"/>
        <v>0</v>
      </c>
      <c r="M84" s="60">
        <f t="shared" si="14"/>
        <v>0</v>
      </c>
      <c r="N84" s="60">
        <f t="shared" si="14"/>
        <v>15.8</v>
      </c>
      <c r="O84" s="60">
        <f t="shared" si="14"/>
        <v>1.6</v>
      </c>
      <c r="P84" s="60">
        <f t="shared" si="14"/>
        <v>0</v>
      </c>
      <c r="Q84" s="60">
        <f t="shared" si="14"/>
        <v>0</v>
      </c>
      <c r="R84" s="60">
        <f t="shared" si="14"/>
        <v>0</v>
      </c>
      <c r="S84" s="60">
        <f t="shared" ref="S84:Z84" si="15">SUMIF(S73:S83,"&gt;0")</f>
        <v>0</v>
      </c>
      <c r="T84" s="60">
        <f t="shared" si="15"/>
        <v>0</v>
      </c>
      <c r="U84" s="60">
        <f t="shared" si="15"/>
        <v>0</v>
      </c>
      <c r="V84" s="60">
        <f t="shared" si="15"/>
        <v>0</v>
      </c>
      <c r="W84" s="60">
        <f t="shared" si="15"/>
        <v>0</v>
      </c>
      <c r="X84" s="60">
        <f t="shared" si="15"/>
        <v>0</v>
      </c>
      <c r="Y84" s="60">
        <f t="shared" si="15"/>
        <v>0</v>
      </c>
      <c r="Z84" s="60">
        <f t="shared" si="15"/>
        <v>0</v>
      </c>
      <c r="AA84" s="60">
        <v>0</v>
      </c>
      <c r="AB84" s="60">
        <f t="shared" si="14"/>
        <v>0</v>
      </c>
      <c r="AC84" s="60">
        <f t="shared" si="14"/>
        <v>0</v>
      </c>
      <c r="AD84" s="60">
        <f t="shared" si="14"/>
        <v>0</v>
      </c>
      <c r="AE84" s="60">
        <f t="shared" si="14"/>
        <v>0</v>
      </c>
      <c r="AF84" s="60">
        <f t="shared" si="14"/>
        <v>0</v>
      </c>
      <c r="AG84" s="87">
        <f>SUM(AG73:AG83)</f>
        <v>0</v>
      </c>
      <c r="AH84" s="47">
        <f t="shared" si="12"/>
        <v>15.8</v>
      </c>
      <c r="AI84" s="48">
        <f t="shared" si="13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>
        <v>0</v>
      </c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1936.4400000000003</v>
      </c>
      <c r="C89" s="94">
        <f t="shared" si="16"/>
        <v>1833.04</v>
      </c>
      <c r="D89" s="94">
        <f t="shared" si="16"/>
        <v>1666.2399999999998</v>
      </c>
      <c r="E89" s="94">
        <f t="shared" si="16"/>
        <v>1704.74</v>
      </c>
      <c r="F89" s="94">
        <f t="shared" si="16"/>
        <v>1673.8400000000001</v>
      </c>
      <c r="G89" s="94">
        <f t="shared" si="16"/>
        <v>1692.64</v>
      </c>
      <c r="H89" s="94">
        <f t="shared" si="16"/>
        <v>1730.24</v>
      </c>
      <c r="I89" s="94">
        <f t="shared" si="16"/>
        <v>1840.24</v>
      </c>
      <c r="J89" s="94">
        <f t="shared" si="16"/>
        <v>1876.64</v>
      </c>
      <c r="K89" s="94">
        <f t="shared" si="16"/>
        <v>1943.8400000000001</v>
      </c>
      <c r="L89" s="94">
        <f t="shared" si="16"/>
        <v>1944.94</v>
      </c>
      <c r="M89" s="94">
        <f t="shared" si="16"/>
        <v>1932.3600000000001</v>
      </c>
      <c r="N89" s="94">
        <f t="shared" si="16"/>
        <v>1935.24</v>
      </c>
      <c r="O89" s="94">
        <f t="shared" si="16"/>
        <v>1856.84</v>
      </c>
      <c r="P89" s="94">
        <f t="shared" si="16"/>
        <v>1947.04</v>
      </c>
      <c r="Q89" s="94">
        <f t="shared" si="16"/>
        <v>1944.44</v>
      </c>
      <c r="R89" s="94">
        <f t="shared" si="16"/>
        <v>1944.44</v>
      </c>
      <c r="S89" s="94">
        <f t="shared" ref="S89:Z89" si="17">S50+S54+S72+S68+S84+S88</f>
        <v>1984.1399999999999</v>
      </c>
      <c r="T89" s="94">
        <f t="shared" si="17"/>
        <v>1977.54</v>
      </c>
      <c r="U89" s="94">
        <f t="shared" si="17"/>
        <v>1832.4399999999998</v>
      </c>
      <c r="V89" s="94">
        <f t="shared" si="17"/>
        <v>1973.44</v>
      </c>
      <c r="W89" s="94">
        <f t="shared" si="17"/>
        <v>1972.49</v>
      </c>
      <c r="X89" s="94">
        <f t="shared" si="17"/>
        <v>1958.29</v>
      </c>
      <c r="Y89" s="94">
        <f t="shared" si="17"/>
        <v>1977.8899999999999</v>
      </c>
      <c r="Z89" s="94">
        <f t="shared" si="17"/>
        <v>2022.44</v>
      </c>
      <c r="AA89" s="94">
        <v>2037.3400000000001</v>
      </c>
      <c r="AB89" s="94">
        <f t="shared" si="16"/>
        <v>2019.24</v>
      </c>
      <c r="AC89" s="94">
        <f t="shared" si="16"/>
        <v>2006.04</v>
      </c>
      <c r="AD89" s="94">
        <f t="shared" si="16"/>
        <v>1964.8400000000001</v>
      </c>
      <c r="AE89" s="94">
        <f t="shared" si="16"/>
        <v>1924.3400000000001</v>
      </c>
      <c r="AF89" s="94">
        <f t="shared" si="16"/>
        <v>1891.64</v>
      </c>
      <c r="AG89" s="61">
        <f t="shared" si="16"/>
        <v>2111.5500000000002</v>
      </c>
      <c r="AH89" s="47">
        <f t="shared" si="12"/>
        <v>2037.3400000000001</v>
      </c>
      <c r="AI89" s="48">
        <f t="shared" si="13"/>
        <v>1666.2399999999998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0</v>
      </c>
      <c r="AI90" s="48">
        <f t="shared" si="13"/>
        <v>0</v>
      </c>
    </row>
    <row r="91" spans="1:40" ht="15.75" thickBot="1" x14ac:dyDescent="0.3">
      <c r="A91" s="73" t="s">
        <v>102</v>
      </c>
      <c r="B91" s="94">
        <f t="shared" ref="B91:AF91" si="18">B89+B90</f>
        <v>1936.4400000000003</v>
      </c>
      <c r="C91" s="94">
        <f t="shared" si="18"/>
        <v>1833.04</v>
      </c>
      <c r="D91" s="94">
        <f t="shared" si="18"/>
        <v>1666.2399999999998</v>
      </c>
      <c r="E91" s="94">
        <f t="shared" si="18"/>
        <v>1704.74</v>
      </c>
      <c r="F91" s="94">
        <f t="shared" si="18"/>
        <v>1673.8400000000001</v>
      </c>
      <c r="G91" s="94">
        <f t="shared" si="18"/>
        <v>1692.64</v>
      </c>
      <c r="H91" s="94">
        <f t="shared" si="18"/>
        <v>1730.24</v>
      </c>
      <c r="I91" s="94">
        <f t="shared" si="18"/>
        <v>1840.24</v>
      </c>
      <c r="J91" s="94">
        <f t="shared" si="18"/>
        <v>1876.64</v>
      </c>
      <c r="K91" s="94">
        <f t="shared" si="18"/>
        <v>1943.8400000000001</v>
      </c>
      <c r="L91" s="94">
        <f t="shared" si="18"/>
        <v>1944.94</v>
      </c>
      <c r="M91" s="94">
        <f t="shared" si="18"/>
        <v>1932.3600000000001</v>
      </c>
      <c r="N91" s="94">
        <f t="shared" si="18"/>
        <v>1935.24</v>
      </c>
      <c r="O91" s="94">
        <f t="shared" si="18"/>
        <v>1856.84</v>
      </c>
      <c r="P91" s="94">
        <f t="shared" si="18"/>
        <v>1947.04</v>
      </c>
      <c r="Q91" s="94">
        <f t="shared" si="18"/>
        <v>1944.44</v>
      </c>
      <c r="R91" s="94">
        <f t="shared" si="18"/>
        <v>1944.44</v>
      </c>
      <c r="S91" s="94">
        <f t="shared" ref="S91:Z91" si="19">S89+S90</f>
        <v>1984.1399999999999</v>
      </c>
      <c r="T91" s="94">
        <f t="shared" si="19"/>
        <v>1977.54</v>
      </c>
      <c r="U91" s="94">
        <f t="shared" si="19"/>
        <v>1832.4399999999998</v>
      </c>
      <c r="V91" s="94">
        <f t="shared" si="19"/>
        <v>1973.44</v>
      </c>
      <c r="W91" s="94">
        <f t="shared" si="19"/>
        <v>1972.49</v>
      </c>
      <c r="X91" s="94">
        <f t="shared" si="19"/>
        <v>1958.29</v>
      </c>
      <c r="Y91" s="94">
        <f t="shared" si="19"/>
        <v>1977.8899999999999</v>
      </c>
      <c r="Z91" s="94">
        <f t="shared" si="19"/>
        <v>2022.44</v>
      </c>
      <c r="AA91" s="94">
        <v>2037.3400000000001</v>
      </c>
      <c r="AB91" s="94">
        <f t="shared" si="18"/>
        <v>2019.24</v>
      </c>
      <c r="AC91" s="94">
        <f t="shared" si="18"/>
        <v>2006.04</v>
      </c>
      <c r="AD91" s="94">
        <f t="shared" si="18"/>
        <v>1964.8400000000001</v>
      </c>
      <c r="AE91" s="94">
        <f t="shared" si="18"/>
        <v>1924.3400000000001</v>
      </c>
      <c r="AF91" s="94">
        <f t="shared" si="18"/>
        <v>1891.64</v>
      </c>
      <c r="AG91" s="87">
        <f>AG88+AG84+AG72+AG68+AG50+AG90</f>
        <v>1573.45</v>
      </c>
      <c r="AH91" s="47">
        <f t="shared" si="12"/>
        <v>2037.3400000000001</v>
      </c>
      <c r="AI91" s="48">
        <f t="shared" si="13"/>
        <v>1666.2399999999998</v>
      </c>
    </row>
    <row r="92" spans="1:40" ht="15.75" thickBot="1" x14ac:dyDescent="0.3">
      <c r="A92" s="73" t="s">
        <v>103</v>
      </c>
      <c r="B92" s="94">
        <f t="shared" ref="B92:AF92" si="20">B91-B99</f>
        <v>1561.4400000000003</v>
      </c>
      <c r="C92" s="94">
        <f t="shared" si="20"/>
        <v>1490.04</v>
      </c>
      <c r="D92" s="94">
        <f t="shared" si="20"/>
        <v>1378.2399999999998</v>
      </c>
      <c r="E92" s="94">
        <f t="shared" si="20"/>
        <v>1432.04</v>
      </c>
      <c r="F92" s="94">
        <f t="shared" si="20"/>
        <v>1384.3400000000001</v>
      </c>
      <c r="G92" s="94">
        <f t="shared" si="20"/>
        <v>1370.64</v>
      </c>
      <c r="H92" s="94">
        <f t="shared" si="20"/>
        <v>1356.44</v>
      </c>
      <c r="I92" s="94">
        <f t="shared" si="20"/>
        <v>1364.24</v>
      </c>
      <c r="J92" s="94">
        <f t="shared" si="20"/>
        <v>1394.64</v>
      </c>
      <c r="K92" s="94">
        <f t="shared" si="20"/>
        <v>1471.0400000000002</v>
      </c>
      <c r="L92" s="94">
        <f t="shared" si="20"/>
        <v>1442.94</v>
      </c>
      <c r="M92" s="94">
        <f t="shared" si="20"/>
        <v>1462.3600000000001</v>
      </c>
      <c r="N92" s="94">
        <f t="shared" si="20"/>
        <v>1474.24</v>
      </c>
      <c r="O92" s="94">
        <f t="shared" si="20"/>
        <v>1363.84</v>
      </c>
      <c r="P92" s="94">
        <f t="shared" si="20"/>
        <v>1445.04</v>
      </c>
      <c r="Q92" s="94">
        <f t="shared" si="20"/>
        <v>1448.44</v>
      </c>
      <c r="R92" s="94">
        <f t="shared" si="20"/>
        <v>1432.44</v>
      </c>
      <c r="S92" s="94">
        <f t="shared" ref="S92:Z92" si="21">S91-S99</f>
        <v>1477.9399999999998</v>
      </c>
      <c r="T92" s="94">
        <f t="shared" si="21"/>
        <v>1471.54</v>
      </c>
      <c r="U92" s="94">
        <f t="shared" si="21"/>
        <v>1357.3399999999997</v>
      </c>
      <c r="V92" s="94">
        <f t="shared" si="21"/>
        <v>1480.8400000000001</v>
      </c>
      <c r="W92" s="94">
        <f t="shared" si="21"/>
        <v>1451.0900000000001</v>
      </c>
      <c r="X92" s="94">
        <f t="shared" si="21"/>
        <v>1491.8899999999999</v>
      </c>
      <c r="Y92" s="94">
        <f t="shared" si="21"/>
        <v>1578.1899999999998</v>
      </c>
      <c r="Z92" s="94">
        <f t="shared" si="21"/>
        <v>1618.54</v>
      </c>
      <c r="AA92" s="94">
        <v>2037.3400000000001</v>
      </c>
      <c r="AB92" s="94">
        <f t="shared" si="20"/>
        <v>1586.54</v>
      </c>
      <c r="AC92" s="94">
        <f t="shared" si="20"/>
        <v>1597.1399999999999</v>
      </c>
      <c r="AD92" s="94">
        <f t="shared" si="20"/>
        <v>1528.5400000000002</v>
      </c>
      <c r="AE92" s="94">
        <f t="shared" si="20"/>
        <v>1451.3400000000001</v>
      </c>
      <c r="AF92" s="94">
        <f t="shared" si="20"/>
        <v>1457.44</v>
      </c>
      <c r="AG92" s="87"/>
      <c r="AH92" s="47">
        <f t="shared" si="12"/>
        <v>2037.3400000000001</v>
      </c>
      <c r="AI92" s="48">
        <f t="shared" si="13"/>
        <v>1356.44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-B75</f>
        <v>375</v>
      </c>
      <c r="C99" s="60">
        <f t="shared" ref="C99:AF99" si="22">-C75</f>
        <v>343</v>
      </c>
      <c r="D99" s="60">
        <f t="shared" si="22"/>
        <v>288</v>
      </c>
      <c r="E99" s="60">
        <f t="shared" si="22"/>
        <v>272.7</v>
      </c>
      <c r="F99" s="60">
        <f t="shared" si="22"/>
        <v>289.5</v>
      </c>
      <c r="G99" s="60">
        <f t="shared" si="22"/>
        <v>322</v>
      </c>
      <c r="H99" s="60">
        <f t="shared" si="22"/>
        <v>373.8</v>
      </c>
      <c r="I99" s="60">
        <f t="shared" si="22"/>
        <v>476</v>
      </c>
      <c r="J99" s="60">
        <f t="shared" si="22"/>
        <v>482</v>
      </c>
      <c r="K99" s="60">
        <f t="shared" si="22"/>
        <v>472.8</v>
      </c>
      <c r="L99" s="60">
        <f t="shared" si="22"/>
        <v>502</v>
      </c>
      <c r="M99" s="60">
        <f t="shared" si="22"/>
        <v>470</v>
      </c>
      <c r="N99" s="60">
        <f t="shared" si="22"/>
        <v>461</v>
      </c>
      <c r="O99" s="60">
        <f t="shared" si="22"/>
        <v>493</v>
      </c>
      <c r="P99" s="60">
        <f t="shared" si="22"/>
        <v>502</v>
      </c>
      <c r="Q99" s="60">
        <f t="shared" si="22"/>
        <v>496</v>
      </c>
      <c r="R99" s="60">
        <f t="shared" si="22"/>
        <v>512</v>
      </c>
      <c r="S99" s="60">
        <f t="shared" si="22"/>
        <v>506.2</v>
      </c>
      <c r="T99" s="60">
        <f t="shared" ref="T99:Z99" si="23">-T75</f>
        <v>506</v>
      </c>
      <c r="U99" s="60">
        <f t="shared" si="23"/>
        <v>475.1</v>
      </c>
      <c r="V99" s="60">
        <f t="shared" si="23"/>
        <v>492.6</v>
      </c>
      <c r="W99" s="60">
        <f t="shared" si="23"/>
        <v>521.4</v>
      </c>
      <c r="X99" s="60">
        <f t="shared" si="23"/>
        <v>466.4</v>
      </c>
      <c r="Y99" s="60">
        <f t="shared" si="23"/>
        <v>399.7</v>
      </c>
      <c r="Z99" s="60">
        <f t="shared" si="23"/>
        <v>403.9</v>
      </c>
      <c r="AA99" s="60">
        <v>0</v>
      </c>
      <c r="AB99" s="60">
        <f t="shared" si="22"/>
        <v>432.7</v>
      </c>
      <c r="AC99" s="60">
        <f t="shared" si="22"/>
        <v>408.9</v>
      </c>
      <c r="AD99" s="60">
        <f t="shared" si="22"/>
        <v>436.3</v>
      </c>
      <c r="AE99" s="60">
        <f t="shared" si="22"/>
        <v>473</v>
      </c>
      <c r="AF99" s="60">
        <f t="shared" si="22"/>
        <v>434.2</v>
      </c>
      <c r="AG99" s="87"/>
      <c r="AH99" s="47">
        <f t="shared" si="12"/>
        <v>521.4</v>
      </c>
      <c r="AI99" s="48">
        <f t="shared" si="13"/>
        <v>0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-375</v>
      </c>
      <c r="C100" s="60">
        <f t="shared" si="24"/>
        <v>-343</v>
      </c>
      <c r="D100" s="60">
        <f t="shared" si="24"/>
        <v>-288</v>
      </c>
      <c r="E100" s="60">
        <f t="shared" si="24"/>
        <v>-272.7</v>
      </c>
      <c r="F100" s="60">
        <f t="shared" si="24"/>
        <v>-289.5</v>
      </c>
      <c r="G100" s="60">
        <f t="shared" si="24"/>
        <v>-322</v>
      </c>
      <c r="H100" s="60">
        <f t="shared" si="24"/>
        <v>-373.8</v>
      </c>
      <c r="I100" s="60">
        <f t="shared" si="24"/>
        <v>-476</v>
      </c>
      <c r="J100" s="60">
        <f t="shared" si="24"/>
        <v>-482</v>
      </c>
      <c r="K100" s="60">
        <f t="shared" si="24"/>
        <v>-472.8</v>
      </c>
      <c r="L100" s="60">
        <f t="shared" si="24"/>
        <v>-502</v>
      </c>
      <c r="M100" s="60">
        <f t="shared" si="24"/>
        <v>-470</v>
      </c>
      <c r="N100" s="60">
        <f t="shared" si="24"/>
        <v>-445.2</v>
      </c>
      <c r="O100" s="60">
        <f t="shared" si="24"/>
        <v>-491.4</v>
      </c>
      <c r="P100" s="60">
        <f t="shared" si="24"/>
        <v>-502</v>
      </c>
      <c r="Q100" s="60">
        <f t="shared" si="24"/>
        <v>-496</v>
      </c>
      <c r="R100" s="60">
        <f t="shared" si="24"/>
        <v>-512</v>
      </c>
      <c r="S100" s="60">
        <f t="shared" ref="S100:Z100" si="25">S84-S99</f>
        <v>-506.2</v>
      </c>
      <c r="T100" s="60">
        <f t="shared" si="25"/>
        <v>-506</v>
      </c>
      <c r="U100" s="60">
        <f t="shared" si="25"/>
        <v>-475.1</v>
      </c>
      <c r="V100" s="60">
        <f t="shared" si="25"/>
        <v>-492.6</v>
      </c>
      <c r="W100" s="60">
        <f t="shared" si="25"/>
        <v>-521.4</v>
      </c>
      <c r="X100" s="60">
        <f t="shared" si="25"/>
        <v>-466.4</v>
      </c>
      <c r="Y100" s="60">
        <f t="shared" si="25"/>
        <v>-399.7</v>
      </c>
      <c r="Z100" s="60">
        <f t="shared" si="25"/>
        <v>-403.9</v>
      </c>
      <c r="AA100" s="60">
        <v>0</v>
      </c>
      <c r="AB100" s="60">
        <f t="shared" si="24"/>
        <v>-432.7</v>
      </c>
      <c r="AC100" s="60">
        <f t="shared" si="24"/>
        <v>-408.9</v>
      </c>
      <c r="AD100" s="60">
        <f t="shared" si="24"/>
        <v>-436.3</v>
      </c>
      <c r="AE100" s="60">
        <f t="shared" si="24"/>
        <v>-473</v>
      </c>
      <c r="AF100" s="60">
        <f t="shared" si="24"/>
        <v>-434.2</v>
      </c>
      <c r="AG100" s="87"/>
      <c r="AH100" s="47">
        <f t="shared" si="12"/>
        <v>0</v>
      </c>
      <c r="AI100" s="48">
        <f t="shared" si="13"/>
        <v>-521.4</v>
      </c>
    </row>
    <row r="101" spans="1:37" x14ac:dyDescent="0.25">
      <c r="A101" s="99" t="s">
        <v>109</v>
      </c>
      <c r="B101" s="100">
        <v>50.048000000000002</v>
      </c>
      <c r="C101" s="100">
        <v>50.012999999999998</v>
      </c>
      <c r="D101" s="100">
        <v>49.976999999999997</v>
      </c>
      <c r="E101" s="100">
        <v>50.033000000000001</v>
      </c>
      <c r="F101" s="100">
        <v>49.972000000000001</v>
      </c>
      <c r="G101" s="100">
        <v>49.966999999999999</v>
      </c>
      <c r="H101" s="100">
        <v>49.959000000000003</v>
      </c>
      <c r="I101" s="100">
        <v>49.915999999999997</v>
      </c>
      <c r="J101" s="100">
        <v>49.8</v>
      </c>
      <c r="K101" s="100">
        <v>50</v>
      </c>
      <c r="L101" s="100">
        <v>49.8</v>
      </c>
      <c r="M101" s="100">
        <v>50.034999999999997</v>
      </c>
      <c r="N101" s="100">
        <v>50.06</v>
      </c>
      <c r="O101" s="100">
        <v>49.975000000000001</v>
      </c>
      <c r="P101" s="100">
        <v>49.994</v>
      </c>
      <c r="Q101" s="100">
        <v>50.034999999999997</v>
      </c>
      <c r="R101" s="100">
        <v>49.959000000000003</v>
      </c>
      <c r="S101" s="100">
        <v>50.064</v>
      </c>
      <c r="T101" s="100">
        <v>49.99</v>
      </c>
      <c r="U101" s="100">
        <v>49.99</v>
      </c>
      <c r="V101" s="100">
        <v>50.012999999999998</v>
      </c>
      <c r="W101" s="100">
        <v>49.962000000000003</v>
      </c>
      <c r="X101" s="100">
        <v>49.88</v>
      </c>
      <c r="Y101" s="100">
        <v>49.93</v>
      </c>
      <c r="Z101" s="100">
        <v>49.93</v>
      </c>
      <c r="AA101" s="100">
        <v>49.96</v>
      </c>
      <c r="AB101" s="100">
        <v>49.99</v>
      </c>
      <c r="AC101" s="100">
        <v>50.052</v>
      </c>
      <c r="AD101" s="100">
        <v>50.048000000000002</v>
      </c>
      <c r="AE101" s="100">
        <v>49.895000000000003</v>
      </c>
      <c r="AF101" s="100">
        <v>50.024999999999999</v>
      </c>
      <c r="AG101" s="101"/>
      <c r="AH101" s="47">
        <f t="shared" si="12"/>
        <v>50.064</v>
      </c>
      <c r="AI101" s="48">
        <f t="shared" si="13"/>
        <v>49.8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131.4</v>
      </c>
      <c r="C103" s="64">
        <v>131</v>
      </c>
      <c r="D103" s="64">
        <v>131.6</v>
      </c>
      <c r="E103" s="64">
        <v>131.6</v>
      </c>
      <c r="F103" s="64">
        <v>131.6</v>
      </c>
      <c r="G103" s="64">
        <v>129.5</v>
      </c>
      <c r="H103" s="64">
        <v>128</v>
      </c>
      <c r="I103" s="64">
        <v>130</v>
      </c>
      <c r="J103" s="64">
        <v>130</v>
      </c>
      <c r="K103" s="64">
        <v>130</v>
      </c>
      <c r="L103" s="64">
        <v>126.9</v>
      </c>
      <c r="M103" s="64">
        <v>126.7</v>
      </c>
      <c r="N103" s="64">
        <v>125.5</v>
      </c>
      <c r="O103" s="64">
        <v>125.9</v>
      </c>
      <c r="P103" s="64">
        <v>127.8</v>
      </c>
      <c r="Q103" s="64">
        <v>127.7</v>
      </c>
      <c r="R103" s="64">
        <v>127.5</v>
      </c>
      <c r="S103" s="64">
        <v>128.1</v>
      </c>
      <c r="T103" s="64">
        <v>127.2</v>
      </c>
      <c r="U103" s="64">
        <v>127.9</v>
      </c>
      <c r="V103" s="64">
        <v>127.9</v>
      </c>
      <c r="W103" s="64">
        <v>129.4</v>
      </c>
      <c r="X103" s="64">
        <v>128.5</v>
      </c>
      <c r="Y103" s="64">
        <v>128.30000000000001</v>
      </c>
      <c r="Z103" s="64">
        <v>128.30000000000001</v>
      </c>
      <c r="AA103" s="64">
        <v>128.1</v>
      </c>
      <c r="AB103" s="64">
        <v>127</v>
      </c>
      <c r="AC103" s="64">
        <v>128.19999999999999</v>
      </c>
      <c r="AD103" s="64">
        <v>129.6</v>
      </c>
      <c r="AE103" s="64">
        <v>131.19999999999999</v>
      </c>
      <c r="AF103" s="64">
        <v>130.69999999999999</v>
      </c>
      <c r="AG103" s="103"/>
      <c r="AH103" s="47">
        <f t="shared" si="12"/>
        <v>131.6</v>
      </c>
      <c r="AI103" s="48">
        <f t="shared" si="13"/>
        <v>125.5</v>
      </c>
    </row>
    <row r="104" spans="1:37" x14ac:dyDescent="0.25">
      <c r="A104" s="102" t="s">
        <v>112</v>
      </c>
      <c r="B104" s="64">
        <v>130.19999999999999</v>
      </c>
      <c r="C104" s="64">
        <v>131.30000000000001</v>
      </c>
      <c r="D104" s="64">
        <v>134.5</v>
      </c>
      <c r="E104" s="64">
        <v>134.5</v>
      </c>
      <c r="F104" s="64">
        <v>134.5</v>
      </c>
      <c r="G104" s="64">
        <v>130.9</v>
      </c>
      <c r="H104" s="64">
        <v>130.9</v>
      </c>
      <c r="I104" s="64">
        <v>131</v>
      </c>
      <c r="J104" s="64">
        <v>131</v>
      </c>
      <c r="K104" s="64">
        <v>131</v>
      </c>
      <c r="L104" s="64">
        <v>129.69999999999999</v>
      </c>
      <c r="M104" s="64">
        <v>129.4</v>
      </c>
      <c r="N104" s="64">
        <v>130.4</v>
      </c>
      <c r="O104" s="64">
        <v>129.4</v>
      </c>
      <c r="P104" s="64">
        <v>129.30000000000001</v>
      </c>
      <c r="Q104" s="64">
        <v>131.19999999999999</v>
      </c>
      <c r="R104" s="64">
        <v>130.19999999999999</v>
      </c>
      <c r="S104" s="64">
        <v>129.9</v>
      </c>
      <c r="T104" s="64">
        <v>129.1</v>
      </c>
      <c r="U104" s="64">
        <v>129.80000000000001</v>
      </c>
      <c r="V104" s="64">
        <v>129.80000000000001</v>
      </c>
      <c r="W104" s="64">
        <v>129.19999999999999</v>
      </c>
      <c r="X104" s="64">
        <v>130.5</v>
      </c>
      <c r="Y104" s="64">
        <v>130</v>
      </c>
      <c r="Z104" s="64">
        <v>130</v>
      </c>
      <c r="AA104" s="64">
        <v>129</v>
      </c>
      <c r="AB104" s="64">
        <v>128</v>
      </c>
      <c r="AC104" s="64">
        <v>129.19999999999999</v>
      </c>
      <c r="AD104" s="64">
        <v>129.80000000000001</v>
      </c>
      <c r="AE104" s="64">
        <v>129.19999999999999</v>
      </c>
      <c r="AF104" s="64">
        <v>128.30000000000001</v>
      </c>
      <c r="AG104" s="103"/>
      <c r="AH104" s="47">
        <f t="shared" si="12"/>
        <v>134.5</v>
      </c>
      <c r="AI104" s="48">
        <f t="shared" si="13"/>
        <v>128</v>
      </c>
    </row>
    <row r="105" spans="1:37" x14ac:dyDescent="0.25">
      <c r="A105" s="104" t="s">
        <v>113</v>
      </c>
      <c r="B105" s="64">
        <v>133.6</v>
      </c>
      <c r="C105" s="64">
        <v>134</v>
      </c>
      <c r="D105" s="64"/>
      <c r="E105" s="64">
        <v>132.5</v>
      </c>
      <c r="F105" s="64">
        <v>132.5</v>
      </c>
      <c r="G105" s="64">
        <v>133</v>
      </c>
      <c r="H105" s="64">
        <v>133</v>
      </c>
      <c r="I105" s="64">
        <v>133</v>
      </c>
      <c r="J105" s="64">
        <v>133</v>
      </c>
      <c r="K105" s="64">
        <v>133</v>
      </c>
      <c r="L105" s="64">
        <v>132</v>
      </c>
      <c r="M105" s="64">
        <v>131.19999999999999</v>
      </c>
      <c r="N105" s="64">
        <v>133.1</v>
      </c>
      <c r="O105" s="64">
        <v>133.1</v>
      </c>
      <c r="P105" s="64">
        <v>130.5</v>
      </c>
      <c r="Q105" s="64">
        <v>132.6</v>
      </c>
      <c r="R105" s="64">
        <v>132</v>
      </c>
      <c r="S105" s="64">
        <v>131.9</v>
      </c>
      <c r="T105" s="64">
        <v>132</v>
      </c>
      <c r="U105" s="64">
        <v>130.6</v>
      </c>
      <c r="V105" s="64">
        <v>130.6</v>
      </c>
      <c r="W105" s="64">
        <v>132.19999999999999</v>
      </c>
      <c r="X105" s="64"/>
      <c r="Y105" s="64"/>
      <c r="Z105" s="64"/>
      <c r="AA105" s="64">
        <v>131.80000000000001</v>
      </c>
      <c r="AB105" s="64">
        <v>130.9</v>
      </c>
      <c r="AC105" s="64">
        <v>132.30000000000001</v>
      </c>
      <c r="AD105" s="64">
        <v>133.4</v>
      </c>
      <c r="AE105" s="64">
        <v>132.19999999999999</v>
      </c>
      <c r="AF105" s="64">
        <v>131.1</v>
      </c>
      <c r="AG105" s="103"/>
      <c r="AH105" s="47">
        <f t="shared" si="12"/>
        <v>134</v>
      </c>
      <c r="AI105" s="48">
        <f t="shared" si="13"/>
        <v>130.5</v>
      </c>
    </row>
    <row r="106" spans="1:37" x14ac:dyDescent="0.25">
      <c r="A106" s="104" t="s">
        <v>114</v>
      </c>
      <c r="B106" s="105">
        <v>134.4</v>
      </c>
      <c r="C106" s="105">
        <v>134</v>
      </c>
      <c r="D106" s="105">
        <v>134</v>
      </c>
      <c r="E106" s="105">
        <v>134</v>
      </c>
      <c r="F106" s="105">
        <v>134</v>
      </c>
      <c r="G106" s="105">
        <v>132.4</v>
      </c>
      <c r="H106" s="105">
        <v>132</v>
      </c>
      <c r="I106" s="105">
        <v>131</v>
      </c>
      <c r="J106" s="105">
        <v>131</v>
      </c>
      <c r="K106" s="105">
        <v>131</v>
      </c>
      <c r="L106" s="105">
        <v>130.4</v>
      </c>
      <c r="M106" s="105">
        <v>130</v>
      </c>
      <c r="N106" s="105">
        <v>128.19999999999999</v>
      </c>
      <c r="O106" s="105">
        <v>128.1</v>
      </c>
      <c r="P106" s="105">
        <v>132.1</v>
      </c>
      <c r="Q106" s="105">
        <v>130.69999999999999</v>
      </c>
      <c r="R106" s="105">
        <v>130.69999999999999</v>
      </c>
      <c r="S106" s="105">
        <v>130.1</v>
      </c>
      <c r="T106" s="105">
        <v>130.5</v>
      </c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12"/>
        <v>134.4</v>
      </c>
      <c r="AI106" s="48">
        <f t="shared" si="13"/>
        <v>128.1</v>
      </c>
    </row>
    <row r="107" spans="1:37" x14ac:dyDescent="0.25">
      <c r="A107" s="102" t="s">
        <v>115</v>
      </c>
      <c r="B107" s="64">
        <v>132.1</v>
      </c>
      <c r="C107" s="64">
        <v>132.6</v>
      </c>
      <c r="D107" s="64">
        <v>133.6</v>
      </c>
      <c r="E107" s="64">
        <v>133.6</v>
      </c>
      <c r="F107" s="64">
        <v>133.6</v>
      </c>
      <c r="G107" s="64">
        <v>138</v>
      </c>
      <c r="H107" s="64">
        <v>138</v>
      </c>
      <c r="I107" s="64"/>
      <c r="J107" s="64"/>
      <c r="K107" s="64"/>
      <c r="L107" s="64"/>
      <c r="M107" s="64">
        <v>134.19999999999999</v>
      </c>
      <c r="N107" s="64">
        <v>130.9</v>
      </c>
      <c r="O107" s="64">
        <v>130.9</v>
      </c>
      <c r="P107" s="64">
        <v>139.30000000000001</v>
      </c>
      <c r="Q107" s="64">
        <v>133.9</v>
      </c>
      <c r="R107" s="64">
        <v>129.9</v>
      </c>
      <c r="S107" s="64">
        <v>128.4</v>
      </c>
      <c r="T107" s="64">
        <v>131.69999999999999</v>
      </c>
      <c r="U107" s="64">
        <v>130.9</v>
      </c>
      <c r="V107" s="64">
        <v>130.9</v>
      </c>
      <c r="W107" s="64">
        <v>131.69999999999999</v>
      </c>
      <c r="X107" s="64">
        <v>132.6</v>
      </c>
      <c r="Y107" s="64">
        <v>133.6</v>
      </c>
      <c r="Z107" s="64">
        <v>133.6</v>
      </c>
      <c r="AA107" s="64">
        <v>128.30000000000001</v>
      </c>
      <c r="AB107" s="64">
        <v>128</v>
      </c>
      <c r="AC107" s="64">
        <v>127.1</v>
      </c>
      <c r="AD107" s="64">
        <v>127.2</v>
      </c>
      <c r="AE107" s="64">
        <v>128.69999999999999</v>
      </c>
      <c r="AF107" s="64">
        <v>133.69999999999999</v>
      </c>
      <c r="AG107" s="103"/>
      <c r="AH107" s="47">
        <f t="shared" si="12"/>
        <v>139.30000000000001</v>
      </c>
      <c r="AI107" s="48">
        <f t="shared" si="13"/>
        <v>127.1</v>
      </c>
    </row>
    <row r="108" spans="1:37" ht="15.75" thickBot="1" x14ac:dyDescent="0.3">
      <c r="A108" s="102" t="s">
        <v>116</v>
      </c>
      <c r="B108" s="91">
        <v>66</v>
      </c>
      <c r="C108" s="91">
        <v>66</v>
      </c>
      <c r="D108" s="91">
        <v>66</v>
      </c>
      <c r="E108" s="91">
        <v>66</v>
      </c>
      <c r="F108" s="91">
        <v>66</v>
      </c>
      <c r="G108" s="91">
        <v>65</v>
      </c>
      <c r="H108" s="91">
        <v>64.8</v>
      </c>
      <c r="I108" s="91">
        <v>65.400000000000006</v>
      </c>
      <c r="J108" s="91">
        <v>65.400000000000006</v>
      </c>
      <c r="K108" s="91">
        <v>65.400000000000006</v>
      </c>
      <c r="L108" s="91">
        <v>63.5</v>
      </c>
      <c r="M108" s="91">
        <v>63.4</v>
      </c>
      <c r="N108" s="91">
        <v>63.1</v>
      </c>
      <c r="O108" s="91">
        <v>63.6</v>
      </c>
      <c r="P108" s="91">
        <v>64</v>
      </c>
      <c r="Q108" s="91">
        <v>63.7</v>
      </c>
      <c r="R108" s="91">
        <v>63.6</v>
      </c>
      <c r="S108" s="91">
        <v>64.099999999999994</v>
      </c>
      <c r="T108" s="91">
        <v>63.7</v>
      </c>
      <c r="U108" s="91">
        <v>63.7</v>
      </c>
      <c r="V108" s="91">
        <v>63.7</v>
      </c>
      <c r="W108" s="91">
        <v>64.900000000000006</v>
      </c>
      <c r="X108" s="91">
        <v>64.900000000000006</v>
      </c>
      <c r="Y108" s="91">
        <v>64.900000000000006</v>
      </c>
      <c r="Z108" s="91">
        <v>64.900000000000006</v>
      </c>
      <c r="AA108" s="91">
        <v>64.3</v>
      </c>
      <c r="AB108" s="91">
        <v>63.9</v>
      </c>
      <c r="AC108" s="91">
        <v>64.400000000000006</v>
      </c>
      <c r="AD108" s="91">
        <v>65.2</v>
      </c>
      <c r="AE108" s="91">
        <v>65.900000000000006</v>
      </c>
      <c r="AF108" s="91">
        <v>65.7</v>
      </c>
      <c r="AG108" s="107"/>
      <c r="AH108" s="47">
        <f t="shared" si="12"/>
        <v>66</v>
      </c>
      <c r="AI108" s="48">
        <f t="shared" si="13"/>
        <v>63.1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74.300000000000026</v>
      </c>
      <c r="C110" s="110">
        <f t="shared" si="26"/>
        <v>71.34</v>
      </c>
      <c r="D110" s="110">
        <f t="shared" si="26"/>
        <v>61.94</v>
      </c>
      <c r="E110" s="110">
        <f t="shared" si="26"/>
        <v>57.94</v>
      </c>
      <c r="F110" s="110">
        <f t="shared" si="26"/>
        <v>60.740000000000009</v>
      </c>
      <c r="G110" s="110">
        <f t="shared" si="26"/>
        <v>72.040000000000035</v>
      </c>
      <c r="H110" s="110">
        <f t="shared" si="26"/>
        <v>96.740000000000009</v>
      </c>
      <c r="I110" s="110">
        <f t="shared" si="26"/>
        <v>122.74</v>
      </c>
      <c r="J110" s="110">
        <f t="shared" si="26"/>
        <v>157.23999999999995</v>
      </c>
      <c r="K110" s="110">
        <f t="shared" si="26"/>
        <v>191.03999999999996</v>
      </c>
      <c r="L110" s="110">
        <f t="shared" si="26"/>
        <v>212.74</v>
      </c>
      <c r="M110" s="110">
        <f t="shared" si="26"/>
        <v>220.44</v>
      </c>
      <c r="N110" s="110">
        <f t="shared" si="26"/>
        <v>283.44</v>
      </c>
      <c r="O110" s="110">
        <f t="shared" si="26"/>
        <v>218.34</v>
      </c>
      <c r="P110" s="110">
        <v>42</v>
      </c>
      <c r="Q110" s="110">
        <f t="shared" ref="Q110:Z110" si="27">SUM(Q20,Q26,Q29:Q30,Q58,Q60:Q61,Q63,Q65,Q111:Q115,Q138,Q144,Q150,Q159,Q161,Q173,Q180,Q183:Q184,Q191,Q193,Q195,Q199:Q201,Q203:Q205,Q210,Q216:Q217,Q219:Q221,Q229,Q234)</f>
        <v>189.9</v>
      </c>
      <c r="R110" s="110">
        <f t="shared" si="27"/>
        <v>182.2</v>
      </c>
      <c r="S110" s="110">
        <f t="shared" si="27"/>
        <v>199.5</v>
      </c>
      <c r="T110" s="110">
        <f t="shared" si="27"/>
        <v>258.3</v>
      </c>
      <c r="U110" s="110">
        <f t="shared" si="27"/>
        <v>191.70000000000002</v>
      </c>
      <c r="V110" s="110">
        <f t="shared" si="27"/>
        <v>213.79999999999998</v>
      </c>
      <c r="W110" s="110">
        <f t="shared" si="27"/>
        <v>201.89999999999998</v>
      </c>
      <c r="X110" s="110">
        <f t="shared" si="27"/>
        <v>221.10000000000002</v>
      </c>
      <c r="Y110" s="110">
        <f t="shared" si="27"/>
        <v>243.30000000000004</v>
      </c>
      <c r="Z110" s="110">
        <f t="shared" si="27"/>
        <v>263.8</v>
      </c>
      <c r="AA110" s="110">
        <v>301.14</v>
      </c>
      <c r="AB110" s="110">
        <f>SUM(AB20,AB26,AB29:AB30,AB58,AB60:AB61,AB63,AB65,AB111:AB115,AB138,AB144,AB150,AB159,AB161,AB173,AB180,AB183:AB184,AB191,AB193,AB195,AB199:AB201,AB203:AB205,AB210,AB216:AB217,AB219:AB221,AB229,AB234)</f>
        <v>196.1</v>
      </c>
      <c r="AC110" s="110">
        <f>SUM(AC20,AC26,AC29:AC30,AC58,AC60:AC61,AC63,AC65,AC111:AC115,AC138,AC144,AC150,AC159,AC161,AC173,AC180,AC183:AC184,AC191,AC193,AC195,AC199:AC201,AC203:AC205,AC210,AC216:AC217,AC219:AC221,AC229,AC234)</f>
        <v>176.89999999999998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103.99999999999999</v>
      </c>
      <c r="AF110" s="110">
        <f>SUM(AF20,AF26,AF29:AF30,AF58,AF60:AF61,AF63,AF65,AF111:AF115,AF138,AF144,AF150,AF159,AF161,AF173,AF180,AF183:AF184,AF191,AF193,AF195,AF199:AF201,AF203:AF205,AF210,AF216:AF217,AF219:AF221,AF229,AF234)</f>
        <v>79.3</v>
      </c>
      <c r="AG110" s="111"/>
      <c r="AH110" s="47">
        <f t="shared" si="12"/>
        <v>301.14</v>
      </c>
      <c r="AI110" s="48">
        <f t="shared" si="13"/>
        <v>42</v>
      </c>
    </row>
    <row r="111" spans="1:37" x14ac:dyDescent="0.25">
      <c r="A111" s="99" t="s">
        <v>119</v>
      </c>
      <c r="B111" s="112">
        <v>23.9</v>
      </c>
      <c r="C111" s="112">
        <v>32</v>
      </c>
      <c r="D111" s="112">
        <v>29</v>
      </c>
      <c r="E111" s="112">
        <v>28.6</v>
      </c>
      <c r="F111" s="112">
        <v>27.4</v>
      </c>
      <c r="G111" s="112">
        <v>50</v>
      </c>
      <c r="H111" s="112">
        <v>54</v>
      </c>
      <c r="I111" s="112">
        <v>38</v>
      </c>
      <c r="J111" s="112">
        <v>48</v>
      </c>
      <c r="K111" s="112">
        <v>52.6</v>
      </c>
      <c r="L111" s="112">
        <v>54.6</v>
      </c>
      <c r="M111" s="112">
        <v>57</v>
      </c>
      <c r="N111" s="112">
        <v>63.6</v>
      </c>
      <c r="O111" s="112">
        <v>64.8</v>
      </c>
      <c r="P111" s="112">
        <v>53.1</v>
      </c>
      <c r="Q111" s="112">
        <v>50.9</v>
      </c>
      <c r="R111" s="112">
        <v>50.3</v>
      </c>
      <c r="S111" s="112">
        <v>47.4</v>
      </c>
      <c r="T111" s="112">
        <v>45.7</v>
      </c>
      <c r="U111" s="112">
        <v>46.1</v>
      </c>
      <c r="V111" s="112">
        <v>45.9</v>
      </c>
      <c r="W111" s="112">
        <v>44.4</v>
      </c>
      <c r="X111" s="112">
        <v>44.1</v>
      </c>
      <c r="Y111" s="112">
        <v>44.8</v>
      </c>
      <c r="Z111" s="112">
        <v>48.7</v>
      </c>
      <c r="AA111" s="112">
        <v>50.1</v>
      </c>
      <c r="AB111" s="112">
        <v>44.2</v>
      </c>
      <c r="AC111" s="112">
        <v>39.9</v>
      </c>
      <c r="AD111" s="112">
        <v>37.799999999999997</v>
      </c>
      <c r="AE111" s="112">
        <v>35.5</v>
      </c>
      <c r="AF111" s="112">
        <v>33.9</v>
      </c>
      <c r="AG111" s="113">
        <v>75</v>
      </c>
      <c r="AH111" s="47">
        <f t="shared" si="12"/>
        <v>64.8</v>
      </c>
      <c r="AI111" s="48">
        <f t="shared" si="13"/>
        <v>23.9</v>
      </c>
    </row>
    <row r="112" spans="1:37" x14ac:dyDescent="0.25">
      <c r="A112" s="102" t="s">
        <v>120</v>
      </c>
      <c r="B112" s="114">
        <v>30.3</v>
      </c>
      <c r="C112" s="114">
        <v>42</v>
      </c>
      <c r="D112" s="114">
        <v>40</v>
      </c>
      <c r="E112" s="114">
        <v>36.9</v>
      </c>
      <c r="F112" s="114">
        <v>35.9</v>
      </c>
      <c r="G112" s="114">
        <v>66.2</v>
      </c>
      <c r="H112" s="114">
        <v>72.8</v>
      </c>
      <c r="I112" s="114">
        <v>50.4</v>
      </c>
      <c r="J112" s="114">
        <v>62</v>
      </c>
      <c r="K112" s="114">
        <v>71.2</v>
      </c>
      <c r="L112" s="114">
        <v>72.900000000000006</v>
      </c>
      <c r="M112" s="114">
        <v>79.7</v>
      </c>
      <c r="N112" s="114">
        <v>92.5</v>
      </c>
      <c r="O112" s="114">
        <v>94.6</v>
      </c>
      <c r="P112" s="114">
        <v>74</v>
      </c>
      <c r="Q112" s="114">
        <v>71.900000000000006</v>
      </c>
      <c r="R112" s="114">
        <v>70.599999999999994</v>
      </c>
      <c r="S112" s="114">
        <v>66.7</v>
      </c>
      <c r="T112" s="114">
        <v>63.6</v>
      </c>
      <c r="U112" s="114">
        <v>63.2</v>
      </c>
      <c r="V112" s="114">
        <v>59.7</v>
      </c>
      <c r="W112" s="114">
        <v>58.4</v>
      </c>
      <c r="X112" s="114">
        <v>57.1</v>
      </c>
      <c r="Y112" s="114">
        <v>56.3</v>
      </c>
      <c r="Z112" s="114">
        <v>63.8</v>
      </c>
      <c r="AA112" s="114">
        <v>66.7</v>
      </c>
      <c r="AB112" s="114">
        <v>60.3</v>
      </c>
      <c r="AC112" s="114">
        <v>52.5</v>
      </c>
      <c r="AD112" s="114">
        <v>50.1</v>
      </c>
      <c r="AE112" s="114">
        <v>46.3</v>
      </c>
      <c r="AF112" s="114">
        <v>43.9</v>
      </c>
      <c r="AG112" s="113">
        <v>240</v>
      </c>
      <c r="AH112" s="47">
        <f t="shared" si="12"/>
        <v>94.6</v>
      </c>
      <c r="AI112" s="48">
        <f t="shared" si="13"/>
        <v>30.3</v>
      </c>
    </row>
    <row r="113" spans="1:37" x14ac:dyDescent="0.25">
      <c r="A113" s="102" t="s">
        <v>121</v>
      </c>
      <c r="B113" s="114">
        <v>-128</v>
      </c>
      <c r="C113" s="114">
        <v>-124</v>
      </c>
      <c r="D113" s="114">
        <v>-125</v>
      </c>
      <c r="E113" s="114">
        <v>-124</v>
      </c>
      <c r="F113" s="114">
        <v>-127</v>
      </c>
      <c r="G113" s="114">
        <v>-86</v>
      </c>
      <c r="H113" s="114">
        <v>-85</v>
      </c>
      <c r="I113" s="114">
        <v>-112</v>
      </c>
      <c r="J113" s="114">
        <v>-105</v>
      </c>
      <c r="K113" s="114">
        <v>-87.5</v>
      </c>
      <c r="L113" s="114">
        <v>-70</v>
      </c>
      <c r="M113" s="114">
        <v>-75.900000000000006</v>
      </c>
      <c r="N113" s="114">
        <v>-55</v>
      </c>
      <c r="O113" s="114">
        <v>-72</v>
      </c>
      <c r="P113" s="114">
        <v>-67</v>
      </c>
      <c r="Q113" s="114">
        <v>-70</v>
      </c>
      <c r="R113" s="114">
        <v>-70</v>
      </c>
      <c r="S113" s="114">
        <v>-71</v>
      </c>
      <c r="T113" s="114" t="s">
        <v>277</v>
      </c>
      <c r="U113" s="114">
        <v>-58.2</v>
      </c>
      <c r="V113" s="114">
        <v>-87.9</v>
      </c>
      <c r="W113" s="114">
        <v>-97</v>
      </c>
      <c r="X113" s="114">
        <v>-69.8</v>
      </c>
      <c r="Y113" s="114">
        <v>-60.5</v>
      </c>
      <c r="Z113" s="114">
        <v>-53.2</v>
      </c>
      <c r="AA113" s="114">
        <v>-65</v>
      </c>
      <c r="AB113" s="114">
        <v>-97.9</v>
      </c>
      <c r="AC113" s="114">
        <v>-102</v>
      </c>
      <c r="AD113" s="114">
        <v>-106</v>
      </c>
      <c r="AE113" s="114">
        <v>-107</v>
      </c>
      <c r="AF113" s="114">
        <v>-100</v>
      </c>
      <c r="AG113" s="113">
        <v>240</v>
      </c>
      <c r="AH113" s="47">
        <f t="shared" si="12"/>
        <v>-53.2</v>
      </c>
      <c r="AI113" s="48">
        <f t="shared" si="13"/>
        <v>-128</v>
      </c>
    </row>
    <row r="114" spans="1:37" x14ac:dyDescent="0.25">
      <c r="A114" s="102" t="s">
        <v>122</v>
      </c>
      <c r="B114" s="114">
        <v>-2.8</v>
      </c>
      <c r="C114" s="114">
        <v>-5</v>
      </c>
      <c r="D114" s="114">
        <v>-4.0999999999999996</v>
      </c>
      <c r="E114" s="114">
        <v>-5.8</v>
      </c>
      <c r="F114" s="114">
        <v>-5</v>
      </c>
      <c r="G114" s="114">
        <v>-0.7</v>
      </c>
      <c r="H114" s="114">
        <v>-0.2</v>
      </c>
      <c r="I114" s="114">
        <v>-2.7</v>
      </c>
      <c r="J114" s="114">
        <v>-2</v>
      </c>
      <c r="K114" s="114">
        <v>0.7</v>
      </c>
      <c r="L114" s="114">
        <v>2.7</v>
      </c>
      <c r="M114" s="114">
        <v>4</v>
      </c>
      <c r="N114" s="114">
        <v>5.8</v>
      </c>
      <c r="O114" s="114">
        <v>14.9</v>
      </c>
      <c r="P114" s="114">
        <v>5.3</v>
      </c>
      <c r="Q114" s="114">
        <v>6.4</v>
      </c>
      <c r="R114" s="114">
        <v>0.6</v>
      </c>
      <c r="S114" s="114">
        <v>6</v>
      </c>
      <c r="T114" s="114">
        <v>4.2</v>
      </c>
      <c r="U114" s="114">
        <v>-5.4</v>
      </c>
      <c r="V114" s="114">
        <v>4.4000000000000004</v>
      </c>
      <c r="W114" s="114">
        <v>4.5999999999999996</v>
      </c>
      <c r="X114" s="114">
        <v>8.1</v>
      </c>
      <c r="Y114" s="114">
        <v>8.8000000000000007</v>
      </c>
      <c r="Z114" s="114">
        <v>11.2</v>
      </c>
      <c r="AA114" s="114">
        <v>9.6999999999999993</v>
      </c>
      <c r="AB114" s="114">
        <v>4.5</v>
      </c>
      <c r="AC114" s="114">
        <v>4.5</v>
      </c>
      <c r="AD114" s="114">
        <v>1.4</v>
      </c>
      <c r="AE114" s="114">
        <v>-2.6</v>
      </c>
      <c r="AF114" s="114">
        <v>-5.3</v>
      </c>
      <c r="AG114" s="113">
        <v>60</v>
      </c>
      <c r="AH114" s="47">
        <f t="shared" si="12"/>
        <v>14.9</v>
      </c>
      <c r="AI114" s="48">
        <f t="shared" si="13"/>
        <v>-5.8</v>
      </c>
    </row>
    <row r="115" spans="1:37" x14ac:dyDescent="0.25">
      <c r="A115" s="115" t="s">
        <v>123</v>
      </c>
      <c r="B115" s="116">
        <v>22.5</v>
      </c>
      <c r="C115" s="116">
        <v>-3</v>
      </c>
      <c r="D115" s="116">
        <v>2.6</v>
      </c>
      <c r="E115" s="116">
        <v>3.8</v>
      </c>
      <c r="F115" s="116">
        <v>2</v>
      </c>
      <c r="G115" s="116">
        <v>-73.3</v>
      </c>
      <c r="H115" s="116">
        <v>-71</v>
      </c>
      <c r="I115" s="116">
        <v>2.6</v>
      </c>
      <c r="J115" s="116">
        <v>2</v>
      </c>
      <c r="K115" s="116">
        <v>0</v>
      </c>
      <c r="L115" s="116">
        <v>-1.5</v>
      </c>
      <c r="M115" s="116">
        <v>1.6</v>
      </c>
      <c r="N115" s="116">
        <v>2.5</v>
      </c>
      <c r="O115" s="116">
        <v>2</v>
      </c>
      <c r="P115" s="116">
        <v>0</v>
      </c>
      <c r="Q115" s="116">
        <v>0</v>
      </c>
      <c r="R115" s="116">
        <v>0</v>
      </c>
      <c r="S115" s="116">
        <v>-5.2</v>
      </c>
      <c r="T115" s="116">
        <v>-4.2</v>
      </c>
      <c r="U115" s="116">
        <v>-4.2</v>
      </c>
      <c r="V115" s="116">
        <v>42.6</v>
      </c>
      <c r="W115" s="116">
        <v>42.6</v>
      </c>
      <c r="X115" s="116">
        <v>42.2</v>
      </c>
      <c r="Y115" s="116">
        <v>42.9</v>
      </c>
      <c r="Z115" s="116">
        <v>42.3</v>
      </c>
      <c r="AA115" s="116">
        <v>42.4</v>
      </c>
      <c r="AB115" s="116">
        <v>43</v>
      </c>
      <c r="AC115" s="116">
        <v>40.299999999999997</v>
      </c>
      <c r="AD115" s="116">
        <v>36.5</v>
      </c>
      <c r="AE115" s="116">
        <v>24.7</v>
      </c>
      <c r="AF115" s="116">
        <v>0</v>
      </c>
      <c r="AG115" s="117">
        <v>120</v>
      </c>
      <c r="AH115" s="47">
        <f t="shared" si="12"/>
        <v>43</v>
      </c>
      <c r="AI115" s="48">
        <f t="shared" si="13"/>
        <v>-73.3</v>
      </c>
    </row>
    <row r="116" spans="1:37" x14ac:dyDescent="0.25">
      <c r="A116" s="115" t="s">
        <v>124</v>
      </c>
      <c r="B116" s="116">
        <v>46</v>
      </c>
      <c r="C116" s="116">
        <v>37</v>
      </c>
      <c r="D116" s="116">
        <v>29</v>
      </c>
      <c r="E116" s="116">
        <v>22.7</v>
      </c>
      <c r="F116" s="116">
        <v>22</v>
      </c>
      <c r="G116" s="116">
        <v>34.9</v>
      </c>
      <c r="H116" s="116">
        <v>25.8</v>
      </c>
      <c r="I116" s="116">
        <v>9</v>
      </c>
      <c r="J116" s="116">
        <v>18</v>
      </c>
      <c r="K116" s="116">
        <v>21.4</v>
      </c>
      <c r="L116" s="116">
        <v>26.5</v>
      </c>
      <c r="M116" s="116">
        <v>14</v>
      </c>
      <c r="N116" s="116">
        <v>34.700000000000003</v>
      </c>
      <c r="O116" s="116">
        <v>21</v>
      </c>
      <c r="P116" s="116">
        <v>22.3</v>
      </c>
      <c r="Q116" s="116">
        <v>21.2</v>
      </c>
      <c r="R116" s="116">
        <v>19.600000000000001</v>
      </c>
      <c r="S116" s="116">
        <v>24.3</v>
      </c>
      <c r="T116" s="116">
        <v>15.1</v>
      </c>
      <c r="U116" s="116">
        <v>34.9</v>
      </c>
      <c r="V116" s="116">
        <v>4.8</v>
      </c>
      <c r="W116" s="116">
        <v>-7.9</v>
      </c>
      <c r="X116" s="116">
        <v>13.2</v>
      </c>
      <c r="Y116" s="116">
        <v>36.6</v>
      </c>
      <c r="Z116" s="116">
        <v>38.799999999999997</v>
      </c>
      <c r="AA116" s="116">
        <v>28.4</v>
      </c>
      <c r="AB116" s="116">
        <v>14.8</v>
      </c>
      <c r="AC116" s="116">
        <v>22</v>
      </c>
      <c r="AD116" s="116">
        <v>12.3</v>
      </c>
      <c r="AE116" s="116">
        <v>8</v>
      </c>
      <c r="AF116" s="116">
        <v>25.4</v>
      </c>
      <c r="AG116" s="117"/>
      <c r="AH116" s="47">
        <f t="shared" si="12"/>
        <v>46</v>
      </c>
      <c r="AI116" s="48">
        <f t="shared" si="13"/>
        <v>-7.9</v>
      </c>
    </row>
    <row r="117" spans="1:37" x14ac:dyDescent="0.25">
      <c r="A117" s="115" t="s">
        <v>125</v>
      </c>
      <c r="B117" s="116">
        <v>-10</v>
      </c>
      <c r="C117" s="116">
        <v>-14</v>
      </c>
      <c r="D117" s="116">
        <v>-19</v>
      </c>
      <c r="E117" s="116">
        <v>-22</v>
      </c>
      <c r="F117" s="116">
        <v>-23.7</v>
      </c>
      <c r="G117" s="116">
        <v>-46.4</v>
      </c>
      <c r="H117" s="116">
        <v>-44.7</v>
      </c>
      <c r="I117" s="116">
        <v>-31.3</v>
      </c>
      <c r="J117" s="116">
        <v>-38.6</v>
      </c>
      <c r="K117" s="116">
        <v>-42.7</v>
      </c>
      <c r="L117" s="116">
        <v>-45.6</v>
      </c>
      <c r="M117" s="116">
        <v>45.6</v>
      </c>
      <c r="N117" s="116">
        <v>-27.6</v>
      </c>
      <c r="O117" s="116">
        <v>38.299999999999997</v>
      </c>
      <c r="P117" s="116">
        <v>-52</v>
      </c>
      <c r="Q117" s="116">
        <v>-60</v>
      </c>
      <c r="R117" s="116">
        <v>-63.6</v>
      </c>
      <c r="S117" s="116">
        <v>-53.3</v>
      </c>
      <c r="T117" s="116">
        <v>-54.5</v>
      </c>
      <c r="U117" s="116">
        <v>59.8</v>
      </c>
      <c r="V117" s="116">
        <v>-41.2</v>
      </c>
      <c r="W117" s="116">
        <v>-38.1</v>
      </c>
      <c r="X117" s="116">
        <v>-32.299999999999997</v>
      </c>
      <c r="Y117" s="116">
        <v>-30.4</v>
      </c>
      <c r="Z117" s="116">
        <v>-39.700000000000003</v>
      </c>
      <c r="AA117" s="116">
        <v>-41</v>
      </c>
      <c r="AB117" s="116">
        <v>-33</v>
      </c>
      <c r="AC117" s="116">
        <v>-28</v>
      </c>
      <c r="AD117" s="116">
        <v>-26.3</v>
      </c>
      <c r="AE117" s="116">
        <v>-29.8</v>
      </c>
      <c r="AF117" s="116">
        <v>-34.1</v>
      </c>
      <c r="AG117" s="118"/>
      <c r="AH117" s="47">
        <f t="shared" si="12"/>
        <v>59.8</v>
      </c>
      <c r="AI117" s="48">
        <f t="shared" si="13"/>
        <v>-63.6</v>
      </c>
    </row>
    <row r="118" spans="1:37" x14ac:dyDescent="0.25">
      <c r="A118" s="119" t="s">
        <v>126</v>
      </c>
      <c r="B118" s="105">
        <v>60</v>
      </c>
      <c r="C118" s="105">
        <v>58</v>
      </c>
      <c r="D118" s="105">
        <v>56</v>
      </c>
      <c r="E118" s="105">
        <v>61.6</v>
      </c>
      <c r="F118" s="105">
        <v>42.2</v>
      </c>
      <c r="G118" s="105">
        <v>46.7</v>
      </c>
      <c r="H118" s="105">
        <v>51.7</v>
      </c>
      <c r="I118" s="105">
        <v>55.3</v>
      </c>
      <c r="J118" s="105">
        <v>54.8</v>
      </c>
      <c r="K118" s="105">
        <v>56.1</v>
      </c>
      <c r="L118" s="105">
        <v>54</v>
      </c>
      <c r="M118" s="105">
        <v>42.2</v>
      </c>
      <c r="N118" s="105">
        <v>49.3</v>
      </c>
      <c r="O118" s="105">
        <v>55.2</v>
      </c>
      <c r="P118" s="105">
        <v>38.6</v>
      </c>
      <c r="Q118" s="105">
        <v>40.5</v>
      </c>
      <c r="R118" s="105">
        <v>42.2</v>
      </c>
      <c r="S118" s="105">
        <v>44.2</v>
      </c>
      <c r="T118" s="105">
        <v>50.1</v>
      </c>
      <c r="U118" s="105">
        <v>48.5</v>
      </c>
      <c r="V118" s="105">
        <v>43.5</v>
      </c>
      <c r="W118" s="105">
        <v>40.4</v>
      </c>
      <c r="X118" s="105">
        <v>38.1</v>
      </c>
      <c r="Y118" s="105">
        <v>30.2</v>
      </c>
      <c r="Z118" s="105">
        <v>32.299999999999997</v>
      </c>
      <c r="AA118" s="105">
        <v>34.9</v>
      </c>
      <c r="AB118" s="105">
        <v>34</v>
      </c>
      <c r="AC118" s="105">
        <v>36.5</v>
      </c>
      <c r="AD118" s="105">
        <v>44.9</v>
      </c>
      <c r="AE118" s="105">
        <v>50.6</v>
      </c>
      <c r="AF118" s="105">
        <v>42.2</v>
      </c>
      <c r="AG118" s="118"/>
      <c r="AH118" s="47">
        <f t="shared" si="12"/>
        <v>61.6</v>
      </c>
      <c r="AI118" s="48">
        <f t="shared" si="13"/>
        <v>30.2</v>
      </c>
    </row>
    <row r="119" spans="1:37" x14ac:dyDescent="0.25">
      <c r="A119" s="120" t="s">
        <v>127</v>
      </c>
      <c r="B119" s="105">
        <v>89</v>
      </c>
      <c r="C119" s="105">
        <v>90</v>
      </c>
      <c r="D119" s="105">
        <v>92.1</v>
      </c>
      <c r="E119" s="105">
        <v>95.8</v>
      </c>
      <c r="F119" s="105">
        <v>103</v>
      </c>
      <c r="G119" s="105">
        <v>87.5</v>
      </c>
      <c r="H119" s="105">
        <v>86.1</v>
      </c>
      <c r="I119" s="105">
        <v>94.3</v>
      </c>
      <c r="J119" s="105">
        <v>87.5</v>
      </c>
      <c r="K119" s="105">
        <v>82.5</v>
      </c>
      <c r="L119" s="105">
        <v>82.5</v>
      </c>
      <c r="M119" s="105">
        <v>74.8</v>
      </c>
      <c r="N119" s="105">
        <v>60.6</v>
      </c>
      <c r="O119" s="105">
        <v>79.8</v>
      </c>
      <c r="P119" s="105">
        <v>71.8</v>
      </c>
      <c r="Q119" s="105">
        <v>73.7</v>
      </c>
      <c r="R119" s="105">
        <v>72.2</v>
      </c>
      <c r="S119" s="105">
        <v>68.3</v>
      </c>
      <c r="T119" s="105">
        <v>79.099999999999994</v>
      </c>
      <c r="U119" s="105">
        <v>63.1</v>
      </c>
      <c r="V119" s="105">
        <v>77.400000000000006</v>
      </c>
      <c r="W119" s="105">
        <v>81.7</v>
      </c>
      <c r="X119" s="105">
        <v>61.2</v>
      </c>
      <c r="Y119" s="105">
        <v>55</v>
      </c>
      <c r="Z119" s="105">
        <v>55.5</v>
      </c>
      <c r="AA119" s="105">
        <v>72.8</v>
      </c>
      <c r="AB119" s="105">
        <v>86.7</v>
      </c>
      <c r="AC119" s="105">
        <v>85.4</v>
      </c>
      <c r="AD119" s="105">
        <v>84.8</v>
      </c>
      <c r="AE119" s="105">
        <v>86.9</v>
      </c>
      <c r="AF119" s="105">
        <v>72</v>
      </c>
      <c r="AG119" s="118"/>
      <c r="AH119" s="47">
        <f t="shared" si="12"/>
        <v>103</v>
      </c>
      <c r="AI119" s="48">
        <f t="shared" si="13"/>
        <v>55</v>
      </c>
    </row>
    <row r="120" spans="1:37" ht="15.75" thickBot="1" x14ac:dyDescent="0.3">
      <c r="A120" s="119" t="s">
        <v>128</v>
      </c>
      <c r="B120" s="105">
        <v>18</v>
      </c>
      <c r="C120" s="105">
        <v>20</v>
      </c>
      <c r="D120" s="105">
        <v>28</v>
      </c>
      <c r="E120" s="105">
        <v>54.3</v>
      </c>
      <c r="F120" s="105">
        <v>52.4</v>
      </c>
      <c r="G120" s="105">
        <v>49.2</v>
      </c>
      <c r="H120" s="105">
        <v>40.799999999999997</v>
      </c>
      <c r="I120" s="105">
        <v>5.7</v>
      </c>
      <c r="J120" s="105">
        <v>4.5</v>
      </c>
      <c r="K120" s="105">
        <v>3.2</v>
      </c>
      <c r="L120" s="105">
        <v>1.1000000000000001</v>
      </c>
      <c r="M120" s="105">
        <v>11.1</v>
      </c>
      <c r="N120" s="105">
        <v>1.9</v>
      </c>
      <c r="O120" s="105">
        <v>-9.1</v>
      </c>
      <c r="P120" s="105">
        <v>-9</v>
      </c>
      <c r="Q120" s="105">
        <v>-7</v>
      </c>
      <c r="R120" s="105">
        <v>-11</v>
      </c>
      <c r="S120" s="105">
        <v>-7</v>
      </c>
      <c r="T120" s="105">
        <v>-5.0999999999999996</v>
      </c>
      <c r="U120" s="105">
        <v>-0.8</v>
      </c>
      <c r="V120" s="105">
        <v>4.5999999999999996</v>
      </c>
      <c r="W120" s="105">
        <v>4.5999999999999996</v>
      </c>
      <c r="X120" s="105">
        <v>5.4</v>
      </c>
      <c r="Y120" s="105">
        <v>22.2</v>
      </c>
      <c r="Z120" s="105">
        <v>14.9</v>
      </c>
      <c r="AA120" s="105">
        <v>15</v>
      </c>
      <c r="AB120" s="105">
        <v>18.5</v>
      </c>
      <c r="AC120" s="105">
        <v>22.4</v>
      </c>
      <c r="AD120" s="105">
        <v>15.2</v>
      </c>
      <c r="AE120" s="105">
        <v>6.5</v>
      </c>
      <c r="AF120" s="105">
        <v>18</v>
      </c>
      <c r="AG120" s="118"/>
      <c r="AH120" s="47">
        <f t="shared" si="12"/>
        <v>54.3</v>
      </c>
      <c r="AI120" s="48">
        <f t="shared" si="13"/>
        <v>-11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1944.94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1936.4400000000003</v>
      </c>
      <c r="U249" s="170">
        <f t="shared" si="32"/>
        <v>1833.04</v>
      </c>
      <c r="V249" s="170">
        <f t="shared" si="32"/>
        <v>1666.2399999999998</v>
      </c>
      <c r="W249" s="170">
        <f t="shared" si="32"/>
        <v>1704.74</v>
      </c>
      <c r="X249" s="170">
        <f t="shared" si="32"/>
        <v>1673.8400000000001</v>
      </c>
      <c r="Y249" s="170">
        <f t="shared" si="32"/>
        <v>1692.64</v>
      </c>
      <c r="Z249" s="170">
        <f t="shared" si="32"/>
        <v>1730.24</v>
      </c>
      <c r="AA249" s="170">
        <f t="shared" si="32"/>
        <v>1840.24</v>
      </c>
      <c r="AB249" s="170">
        <f t="shared" si="32"/>
        <v>1876.64</v>
      </c>
      <c r="AC249" s="170">
        <f t="shared" si="32"/>
        <v>1943.8400000000001</v>
      </c>
      <c r="AD249" s="170">
        <f t="shared" si="32"/>
        <v>1944.94</v>
      </c>
      <c r="AE249" s="170">
        <f t="shared" si="32"/>
        <v>1932.3600000000001</v>
      </c>
      <c r="AF249" s="170">
        <f t="shared" si="32"/>
        <v>1935.24</v>
      </c>
      <c r="AG249" s="170">
        <f t="shared" si="32"/>
        <v>1856.84</v>
      </c>
      <c r="AH249" s="170">
        <f t="shared" si="32"/>
        <v>1947.04</v>
      </c>
      <c r="AI249" s="170">
        <f t="shared" si="32"/>
        <v>1944.44</v>
      </c>
      <c r="AJ249" s="170">
        <f t="shared" si="32"/>
        <v>1944.44</v>
      </c>
      <c r="AK249" s="170">
        <f t="shared" si="32"/>
        <v>1984.1399999999999</v>
      </c>
      <c r="AL249" s="170">
        <f t="shared" si="32"/>
        <v>1977.54</v>
      </c>
      <c r="AM249" s="170">
        <f t="shared" si="32"/>
        <v>1832.4399999999998</v>
      </c>
      <c r="AN249" s="170">
        <f t="shared" si="32"/>
        <v>1973.44</v>
      </c>
      <c r="AO249" s="170">
        <f t="shared" si="32"/>
        <v>1972.49</v>
      </c>
      <c r="AP249" s="170">
        <f t="shared" si="32"/>
        <v>1958.29</v>
      </c>
      <c r="AQ249" s="170">
        <f t="shared" si="32"/>
        <v>1977.8899999999999</v>
      </c>
      <c r="AR249" s="170">
        <f t="shared" si="32"/>
        <v>2022.44</v>
      </c>
      <c r="AS249" s="170">
        <f t="shared" si="32"/>
        <v>2037.3400000000001</v>
      </c>
      <c r="AT249" s="170">
        <f t="shared" si="32"/>
        <v>2019.24</v>
      </c>
      <c r="AU249" s="170">
        <f t="shared" si="32"/>
        <v>2006.04</v>
      </c>
      <c r="AV249" s="170">
        <f t="shared" si="32"/>
        <v>1964.8400000000001</v>
      </c>
      <c r="AW249" s="170">
        <f t="shared" si="32"/>
        <v>1924.3400000000001</v>
      </c>
      <c r="AX249" s="170">
        <f t="shared" si="32"/>
        <v>1891.64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phoneticPr fontId="35" type="noConversion"/>
  <conditionalFormatting sqref="A11:A236">
    <cfRule type="expression" dxfId="3097" priority="64">
      <formula>$AH11=0</formula>
    </cfRule>
  </conditionalFormatting>
  <conditionalFormatting sqref="B8 M8 S8 AB8">
    <cfRule type="expression" dxfId="3096" priority="117">
      <formula>C$9&lt;8/24</formula>
    </cfRule>
    <cfRule type="expression" dxfId="3095" priority="116">
      <formula>AND(C$9&gt;=8/24,C$9&lt;14/24)</formula>
    </cfRule>
    <cfRule type="expression" dxfId="3094" priority="115">
      <formula>AND(C$9&gt;=14/24,C$9&lt;20/24)</formula>
    </cfRule>
  </conditionalFormatting>
  <conditionalFormatting sqref="B54:C54">
    <cfRule type="expression" dxfId="3093" priority="38">
      <formula>B$9&gt;=20/24</formula>
    </cfRule>
    <cfRule type="expression" dxfId="3092" priority="39">
      <formula>AND(B$9&gt;=14/24,B$9&lt;20/24)</formula>
    </cfRule>
    <cfRule type="expression" dxfId="3091" priority="40">
      <formula>AND(B$9&gt;=8/24,B$9&lt;14/24)</formula>
    </cfRule>
    <cfRule type="expression" dxfId="3090" priority="41">
      <formula>B$9&lt;8/24</formula>
    </cfRule>
  </conditionalFormatting>
  <conditionalFormatting sqref="B54:C66 I61:N61 E61:H66">
    <cfRule type="expression" dxfId="3089" priority="33">
      <formula>B54&gt;$AG54</formula>
    </cfRule>
  </conditionalFormatting>
  <conditionalFormatting sqref="B55:D59">
    <cfRule type="expression" dxfId="3088" priority="63">
      <formula>B$9&lt;8/24</formula>
    </cfRule>
    <cfRule type="expression" dxfId="3087" priority="62">
      <formula>AND(B$9&gt;=8/24,B$9&lt;14/24)</formula>
    </cfRule>
    <cfRule type="expression" dxfId="3086" priority="61">
      <formula>AND(B$9&gt;=14/24,B$9&lt;20/24)</formula>
    </cfRule>
    <cfRule type="expression" dxfId="3085" priority="60">
      <formula>B$9&gt;=20/24</formula>
    </cfRule>
  </conditionalFormatting>
  <conditionalFormatting sqref="B60:Z60">
    <cfRule type="expression" dxfId="3084" priority="52">
      <formula>AND(B$9&gt;=14/24,B$9&lt;20/24)</formula>
    </cfRule>
    <cfRule type="expression" dxfId="3083" priority="51">
      <formula>B$9&gt;=20/24</formula>
    </cfRule>
    <cfRule type="expression" dxfId="3082" priority="54">
      <formula>B$9&lt;8/24</formula>
    </cfRule>
    <cfRule type="expression" dxfId="3081" priority="53">
      <formula>AND(B$9&gt;=8/24,B$9&lt;14/24)</formula>
    </cfRule>
  </conditionalFormatting>
  <conditionalFormatting sqref="B9:AF45">
    <cfRule type="expression" dxfId="3080" priority="23">
      <formula>B$9&gt;=20/24</formula>
    </cfRule>
    <cfRule type="expression" dxfId="3079" priority="24">
      <formula>AND(B$9&gt;=14/24,B$9&lt;20/24)</formula>
    </cfRule>
    <cfRule type="expression" dxfId="3078" priority="25">
      <formula>AND(B$9&gt;=8/24,B$9&lt;14/24)</formula>
    </cfRule>
    <cfRule type="expression" dxfId="3077" priority="26">
      <formula>B$9&lt;8/24</formula>
    </cfRule>
  </conditionalFormatting>
  <conditionalFormatting sqref="B11:AF46">
    <cfRule type="expression" dxfId="3076" priority="22">
      <formula>B11&gt;$AG11</formula>
    </cfRule>
  </conditionalFormatting>
  <conditionalFormatting sqref="B46:AF46">
    <cfRule type="expression" dxfId="3075" priority="21">
      <formula>B$9&lt;8/24</formula>
    </cfRule>
    <cfRule type="expression" dxfId="3074" priority="18">
      <formula>B$9&gt;=20/24</formula>
    </cfRule>
    <cfRule type="expression" dxfId="3073" priority="19">
      <formula>AND(B$9&gt;=14/24,B$9&lt;20/24)</formula>
    </cfRule>
    <cfRule type="expression" dxfId="3072" priority="20">
      <formula>AND(B$9&gt;=8/24,B$9&lt;14/24)</formula>
    </cfRule>
  </conditionalFormatting>
  <conditionalFormatting sqref="B47:AF47">
    <cfRule type="expression" dxfId="3071" priority="32">
      <formula>B47&gt;$AG47</formula>
    </cfRule>
  </conditionalFormatting>
  <conditionalFormatting sqref="B47:AF49">
    <cfRule type="expression" dxfId="3070" priority="31">
      <formula>B$9&lt;8/24</formula>
    </cfRule>
    <cfRule type="expression" dxfId="3069" priority="30">
      <formula>AND(B$9&gt;=8/24,B$9&lt;14/24)</formula>
    </cfRule>
    <cfRule type="expression" dxfId="3068" priority="29">
      <formula>AND(B$9&gt;=14/24,B$9&lt;20/24)</formula>
    </cfRule>
    <cfRule type="expression" dxfId="3067" priority="28">
      <formula>B$9&gt;=20/24</formula>
    </cfRule>
  </conditionalFormatting>
  <conditionalFormatting sqref="B48:AF53">
    <cfRule type="expression" dxfId="3066" priority="27">
      <formula>B48&gt;$AG48</formula>
    </cfRule>
  </conditionalFormatting>
  <conditionalFormatting sqref="B51:AF53">
    <cfRule type="expression" dxfId="3065" priority="48">
      <formula>AND(B$9&gt;=14/24,B$9&lt;20/24)</formula>
    </cfRule>
    <cfRule type="expression" dxfId="3064" priority="49">
      <formula>AND(B$9&gt;=8/24,B$9&lt;14/24)</formula>
    </cfRule>
    <cfRule type="expression" dxfId="3063" priority="50">
      <formula>B$9&lt;8/24</formula>
    </cfRule>
    <cfRule type="expression" dxfId="3062" priority="47">
      <formula>B$9&gt;=20/24</formula>
    </cfRule>
  </conditionalFormatting>
  <conditionalFormatting sqref="B61:AF66">
    <cfRule type="expression" dxfId="3061" priority="35">
      <formula>AND(B$9&gt;=14/24,B$9&lt;20/24)</formula>
    </cfRule>
    <cfRule type="expression" dxfId="3060" priority="36">
      <formula>AND(B$9&gt;=8/24,B$9&lt;14/24)</formula>
    </cfRule>
    <cfRule type="expression" dxfId="3059" priority="37">
      <formula>B$9&lt;8/24</formula>
    </cfRule>
    <cfRule type="expression" dxfId="3058" priority="34">
      <formula>B$9&gt;=20/24</formula>
    </cfRule>
  </conditionalFormatting>
  <conditionalFormatting sqref="B69:AF71">
    <cfRule type="expression" dxfId="3057" priority="58">
      <formula>AND(B$9&gt;=8/24,B$9&lt;14/24)</formula>
    </cfRule>
    <cfRule type="expression" dxfId="3056" priority="59">
      <formula>B$9&lt;8/24</formula>
    </cfRule>
    <cfRule type="expression" dxfId="3055" priority="55">
      <formula>B69&gt;$AG69</formula>
    </cfRule>
    <cfRule type="expression" dxfId="3054" priority="56">
      <formula>B$9&gt;=20/24</formula>
    </cfRule>
    <cfRule type="expression" dxfId="3053" priority="57">
      <formula>AND(B$9&gt;=14/24,B$9&lt;20/24)</formula>
    </cfRule>
  </conditionalFormatting>
  <conditionalFormatting sqref="B73:AF91">
    <cfRule type="expression" dxfId="3052" priority="2">
      <formula>AND(B$9&gt;=14/24,B$9&lt;20/24)</formula>
    </cfRule>
    <cfRule type="expression" dxfId="3051" priority="4">
      <formula>B$9&lt;8/24</formula>
    </cfRule>
    <cfRule type="expression" dxfId="3050" priority="3">
      <formula>AND(B$9&gt;=8/24,B$9&lt;14/24)</formula>
    </cfRule>
    <cfRule type="expression" dxfId="3049" priority="1">
      <formula>B$9&gt;=20/24</formula>
    </cfRule>
  </conditionalFormatting>
  <conditionalFormatting sqref="B111:AF120">
    <cfRule type="expression" dxfId="3048" priority="17">
      <formula>B$9&lt;8/24</formula>
    </cfRule>
    <cfRule type="expression" dxfId="3047" priority="16">
      <formula>AND(B$9&gt;=8/24,B$9&lt;14/24)</formula>
    </cfRule>
    <cfRule type="expression" dxfId="3046" priority="15">
      <formula>AND(B$9&gt;=14/24,B$9&lt;20/24)</formula>
    </cfRule>
    <cfRule type="expression" dxfId="3045" priority="14">
      <formula>B$9&gt;=20/24</formula>
    </cfRule>
  </conditionalFormatting>
  <conditionalFormatting sqref="B227:AF227 D229:AF230 B229:B235 D231:H231 J231:AF231 D232:AF235 U248:AF248">
    <cfRule type="expression" dxfId="3044" priority="108">
      <formula>B$9&gt;=20/24</formula>
    </cfRule>
    <cfRule type="expression" dxfId="3043" priority="110">
      <formula>AND(B$9&gt;=8/24,B$9&lt;14/24)</formula>
    </cfRule>
    <cfRule type="expression" dxfId="3042" priority="111">
      <formula>B$9&lt;8/24</formula>
    </cfRule>
    <cfRule type="expression" dxfId="3041" priority="109">
      <formula>AND(B$9&gt;=14/24,B$9&lt;20/24)</formula>
    </cfRule>
  </conditionalFormatting>
  <conditionalFormatting sqref="B67:AG68 B72:AG72">
    <cfRule type="expression" dxfId="3040" priority="42">
      <formula>B67&gt;$AG67</formula>
    </cfRule>
  </conditionalFormatting>
  <conditionalFormatting sqref="B72:AG72 B93:AF109">
    <cfRule type="expression" dxfId="3039" priority="46">
      <formula>B$9&lt;8/24</formula>
    </cfRule>
    <cfRule type="expression" dxfId="3038" priority="45">
      <formula>AND(B$9&gt;=8/24,B$9&lt;14/24)</formula>
    </cfRule>
    <cfRule type="expression" dxfId="3037" priority="44">
      <formula>AND(B$9&gt;=14/24,B$9&lt;20/24)</formula>
    </cfRule>
    <cfRule type="expression" dxfId="3036" priority="43">
      <formula>B$9&gt;=20/24</formula>
    </cfRule>
  </conditionalFormatting>
  <conditionalFormatting sqref="D55:AF66">
    <cfRule type="expression" dxfId="3035" priority="5">
      <formula>D55&gt;$AG55</formula>
    </cfRule>
  </conditionalFormatting>
  <conditionalFormatting sqref="D54:AG54">
    <cfRule type="expression" dxfId="3034" priority="78">
      <formula>AND(D$9&gt;=14/24,D$9&lt;20/24)</formula>
    </cfRule>
    <cfRule type="expression" dxfId="3033" priority="77">
      <formula>D$9&gt;=20/24</formula>
    </cfRule>
    <cfRule type="expression" dxfId="3032" priority="76">
      <formula>D54&gt;$AG54</formula>
    </cfRule>
    <cfRule type="expression" dxfId="3031" priority="79">
      <formula>AND(D$9&gt;=8/24,D$9&lt;14/24)</formula>
    </cfRule>
    <cfRule type="expression" dxfId="3030" priority="80">
      <formula>D$9&lt;8/24</formula>
    </cfRule>
  </conditionalFormatting>
  <conditionalFormatting sqref="E55:L57">
    <cfRule type="expression" dxfId="3029" priority="89">
      <formula>E$9&gt;=20/24</formula>
    </cfRule>
    <cfRule type="expression" dxfId="3028" priority="90">
      <formula>AND(E$9&gt;=14/24,E$9&lt;20/24)</formula>
    </cfRule>
    <cfRule type="expression" dxfId="3027" priority="91">
      <formula>AND(E$9&gt;=8/24,E$9&lt;14/24)</formula>
    </cfRule>
    <cfRule type="expression" dxfId="3026" priority="92">
      <formula>E$9&lt;8/24</formula>
    </cfRule>
  </conditionalFormatting>
  <conditionalFormatting sqref="M55:Z59">
    <cfRule type="expression" dxfId="3025" priority="93">
      <formula>M$9&gt;=20/24</formula>
    </cfRule>
    <cfRule type="expression" dxfId="3024" priority="95">
      <formula>AND(M$9&gt;=8/24,M$9&lt;14/24)</formula>
    </cfRule>
    <cfRule type="expression" dxfId="3023" priority="96">
      <formula>M$9&lt;8/24</formula>
    </cfRule>
    <cfRule type="expression" dxfId="3022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021" priority="114">
      <formula>C$9&gt;=20/24</formula>
    </cfRule>
  </conditionalFormatting>
  <conditionalFormatting sqref="S8">
    <cfRule type="expression" dxfId="3020" priority="102">
      <formula>AND(U$9&gt;=14/24,U$9&lt;20/24)</formula>
    </cfRule>
    <cfRule type="expression" dxfId="3019" priority="101">
      <formula>U$9&gt;=20/24</formula>
    </cfRule>
    <cfRule type="expression" dxfId="3018" priority="103">
      <formula>AND(U$9&gt;=8/24,U$9&lt;14/24)</formula>
    </cfRule>
    <cfRule type="expression" dxfId="3017" priority="104">
      <formula>U$9&lt;8/24</formula>
    </cfRule>
  </conditionalFormatting>
  <conditionalFormatting sqref="T248">
    <cfRule type="expression" dxfId="3016" priority="129">
      <formula>AX$9&lt;8/24</formula>
    </cfRule>
    <cfRule type="expression" dxfId="3015" priority="126">
      <formula>AX$9&gt;=20/24</formula>
    </cfRule>
    <cfRule type="expression" dxfId="3014" priority="127">
      <formula>AND(AX$9&gt;=14/24,AX$9&lt;20/24)</formula>
    </cfRule>
    <cfRule type="expression" dxfId="3013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3012" priority="12">
      <formula>AND(AA$9&gt;=8/24,AA$9&lt;14/24)</formula>
    </cfRule>
    <cfRule type="expression" dxfId="3011" priority="13">
      <formula>AA$9&lt;8/24</formula>
    </cfRule>
    <cfRule type="expression" dxfId="3010" priority="11">
      <formula>AND(AA$9&gt;=14/24,AA$9&lt;20/24)</formula>
    </cfRule>
    <cfRule type="expression" dxfId="3009" priority="10">
      <formula>AA$9&gt;=20/24</formula>
    </cfRule>
  </conditionalFormatting>
  <conditionalFormatting sqref="AB8">
    <cfRule type="expression" dxfId="3008" priority="97">
      <formula>AD$9&gt;=20/24</formula>
    </cfRule>
    <cfRule type="expression" dxfId="3007" priority="99">
      <formula>AND(AD$9&gt;=8/24,AD$9&lt;14/24)</formula>
    </cfRule>
    <cfRule type="expression" dxfId="3006" priority="98">
      <formula>AND(AD$9&gt;=14/24,AD$9&lt;20/24)</formula>
    </cfRule>
    <cfRule type="expression" dxfId="3005" priority="100">
      <formula>AD$9&lt;8/24</formula>
    </cfRule>
  </conditionalFormatting>
  <conditionalFormatting sqref="AE61:AF66">
    <cfRule type="expression" dxfId="3004" priority="7">
      <formula>AND(AE$9&gt;=14/24,AE$9&lt;20/24)</formula>
    </cfRule>
    <cfRule type="expression" dxfId="3003" priority="6">
      <formula>AE$9&gt;=20/24</formula>
    </cfRule>
    <cfRule type="expression" dxfId="3002" priority="9">
      <formula>AE$9&lt;8/24</formula>
    </cfRule>
    <cfRule type="expression" dxfId="3001" priority="8">
      <formula>AND(AE$9&gt;=8/24,AE$9&lt;14/24)</formula>
    </cfRule>
  </conditionalFormatting>
  <conditionalFormatting sqref="AG50">
    <cfRule type="expression" dxfId="3000" priority="84">
      <formula>AG50&gt;$AG50</formula>
    </cfRule>
  </conditionalFormatting>
  <conditionalFormatting sqref="AG89">
    <cfRule type="expression" dxfId="2999" priority="85">
      <formula>AG$9&gt;=20/24</formula>
    </cfRule>
    <cfRule type="expression" dxfId="2998" priority="86">
      <formula>AND(AG$9&gt;=14/24,AG$9&lt;20/24)</formula>
    </cfRule>
    <cfRule type="expression" dxfId="2997" priority="87">
      <formula>AND(AG$9&gt;=8/24,AG$9&lt;14/24)</formula>
    </cfRule>
    <cfRule type="expression" dxfId="2996" priority="88">
      <formula>AG$9&lt;8/24</formula>
    </cfRule>
  </conditionalFormatting>
  <conditionalFormatting sqref="AG248">
    <cfRule type="expression" dxfId="2995" priority="118">
      <formula>B$9&gt;=20/24</formula>
    </cfRule>
    <cfRule type="expression" dxfId="2994" priority="121">
      <formula>B$9&lt;8/24</formula>
    </cfRule>
    <cfRule type="expression" dxfId="2993" priority="120">
      <formula>AND(B$9&gt;=8/24,B$9&lt;14/24)</formula>
    </cfRule>
    <cfRule type="expression" dxfId="2992" priority="119">
      <formula>AND(B$9&gt;=14/24,B$9&lt;20/24)</formula>
    </cfRule>
  </conditionalFormatting>
  <conditionalFormatting sqref="AH248:AX248">
    <cfRule type="expression" dxfId="2991" priority="125">
      <formula>AG$9&lt;8/24</formula>
    </cfRule>
    <cfRule type="expression" dxfId="2990" priority="124">
      <formula>AND(AG$9&gt;=8/24,AG$9&lt;14/24)</formula>
    </cfRule>
    <cfRule type="expression" dxfId="2989" priority="123">
      <formula>AND(AG$9&gt;=14/24,AG$9&lt;20/24)</formula>
    </cfRule>
    <cfRule type="expression" dxfId="2988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987" priority="131">
      <formula>AJ$9&gt;=20/24</formula>
    </cfRule>
    <cfRule type="expression" dxfId="2986" priority="132">
      <formula>AND(AJ$9&gt;=14/24,AJ$9&lt;20/24)</formula>
    </cfRule>
    <cfRule type="expression" dxfId="2985" priority="133">
      <formula>AND(AJ$9&gt;=8/24,AJ$9&lt;14/24)</formula>
    </cfRule>
    <cfRule type="expression" dxfId="2984" priority="134">
      <formula>AJ$9&lt;8/24</formula>
    </cfRule>
  </conditionalFormatting>
  <conditionalFormatting sqref="AL80:AN80 AL86:AN86">
    <cfRule type="expression" dxfId="2983" priority="75">
      <formula>AL$9&lt;8/24</formula>
    </cfRule>
    <cfRule type="expression" dxfId="2982" priority="74">
      <formula>AND(AL$9&gt;=8/24,AL$9&lt;14/24)</formula>
    </cfRule>
    <cfRule type="expression" dxfId="2981" priority="73">
      <formula>AND(AL$9&gt;=14/24,AL$9&lt;20/24)</formula>
    </cfRule>
    <cfRule type="expression" dxfId="2980" priority="72">
      <formula>AL$9&gt;=20/24</formula>
    </cfRule>
  </conditionalFormatting>
  <conditionalFormatting sqref="AN81:AN84">
    <cfRule type="expression" dxfId="2979" priority="71">
      <formula>AN$9&lt;8/24</formula>
    </cfRule>
    <cfRule type="expression" dxfId="2978" priority="69">
      <formula>AND(AN$9&gt;=14/24,AN$9&lt;20/24)</formula>
    </cfRule>
    <cfRule type="expression" dxfId="2977" priority="70">
      <formula>AND(AN$9&gt;=8/24,AN$9&lt;14/24)</formula>
    </cfRule>
    <cfRule type="expression" dxfId="2976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E5CD-8A48-4CAD-A514-052702061F17}">
  <sheetPr codeName="Sheet11"/>
  <dimension ref="A1:CJ281"/>
  <sheetViews>
    <sheetView workbookViewId="0">
      <pane xSplit="1" ySplit="10" topLeftCell="O6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5" sqref="B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2080/05/9</v>
      </c>
      <c r="C4" s="196"/>
      <c r="D4" s="196"/>
      <c r="E4" s="197" t="str">
        <f ca="1">"2080/"&amp;"05/"&amp;INT(MID(CELL("filename",G6),FIND("]",CELL("filename",G6))+1,200))</f>
        <v>2080/05/9</v>
      </c>
      <c r="F4" s="197"/>
      <c r="G4" s="197"/>
      <c r="H4" s="197" t="str">
        <f ca="1">TEXT(E4,"dddd")</f>
        <v>Thursday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12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10.6</v>
      </c>
      <c r="U5" s="30">
        <f t="shared" si="0"/>
        <v>10.6</v>
      </c>
      <c r="V5" s="30">
        <f t="shared" si="0"/>
        <v>0</v>
      </c>
      <c r="W5" s="30">
        <f t="shared" si="0"/>
        <v>26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16.8</v>
      </c>
      <c r="AB5" s="30">
        <f t="shared" si="0"/>
        <v>12</v>
      </c>
      <c r="AC5" s="30">
        <f t="shared" si="0"/>
        <v>18</v>
      </c>
      <c r="AD5" s="30">
        <f t="shared" si="0"/>
        <v>12</v>
      </c>
      <c r="AE5" s="30">
        <f t="shared" si="0"/>
        <v>19.100000000000001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1883MW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Load=1762</v>
      </c>
      <c r="B7" s="35">
        <f t="shared" ref="B7:AF7" si="1">B91</f>
        <v>1884.74</v>
      </c>
      <c r="C7" s="35">
        <f t="shared" si="1"/>
        <v>1884.44</v>
      </c>
      <c r="D7" s="35">
        <f t="shared" si="1"/>
        <v>1880.14</v>
      </c>
      <c r="E7" s="35">
        <f t="shared" si="1"/>
        <v>1809.44</v>
      </c>
      <c r="F7" s="35">
        <f t="shared" si="1"/>
        <v>1845.44</v>
      </c>
      <c r="G7" s="35">
        <f t="shared" si="1"/>
        <v>1824.3400000000001</v>
      </c>
      <c r="H7" s="35">
        <f t="shared" si="1"/>
        <v>1806.2400000000002</v>
      </c>
      <c r="I7" s="35">
        <f t="shared" si="1"/>
        <v>1840.64</v>
      </c>
      <c r="J7" s="35">
        <f t="shared" si="1"/>
        <v>1869.3400000000001</v>
      </c>
      <c r="K7" s="35">
        <f t="shared" si="1"/>
        <v>1876.14</v>
      </c>
      <c r="L7" s="35">
        <f t="shared" si="1"/>
        <v>1866.14</v>
      </c>
      <c r="M7" s="35">
        <f t="shared" si="1"/>
        <v>1844.1399999999999</v>
      </c>
      <c r="N7" s="35">
        <f>N91</f>
        <v>1883.04</v>
      </c>
      <c r="O7" s="35">
        <f t="shared" si="1"/>
        <v>1891.74</v>
      </c>
      <c r="P7" s="35">
        <f t="shared" si="1"/>
        <v>1805.34</v>
      </c>
      <c r="Q7" s="35">
        <f t="shared" si="1"/>
        <v>1762.1399999999999</v>
      </c>
      <c r="R7" s="35">
        <f t="shared" si="1"/>
        <v>1770.04</v>
      </c>
      <c r="S7" s="35">
        <f t="shared" si="1"/>
        <v>1763.24</v>
      </c>
      <c r="T7" s="35">
        <f t="shared" si="1"/>
        <v>1779.34</v>
      </c>
      <c r="U7" s="35">
        <f t="shared" si="1"/>
        <v>1785.7399999999998</v>
      </c>
      <c r="V7" s="35">
        <f t="shared" si="1"/>
        <v>1784.34</v>
      </c>
      <c r="W7" s="35">
        <f t="shared" si="1"/>
        <v>1775.1399999999999</v>
      </c>
      <c r="X7" s="35">
        <f t="shared" si="1"/>
        <v>1795.54</v>
      </c>
      <c r="Y7" s="35">
        <f t="shared" si="1"/>
        <v>1824.84</v>
      </c>
      <c r="Z7" s="35">
        <f t="shared" si="1"/>
        <v>1916.84</v>
      </c>
      <c r="AA7" s="35">
        <f t="shared" si="1"/>
        <v>1948.84</v>
      </c>
      <c r="AB7" s="35">
        <f t="shared" si="1"/>
        <v>1969.5399999999997</v>
      </c>
      <c r="AC7" s="35">
        <f t="shared" si="1"/>
        <v>1963.2399999999998</v>
      </c>
      <c r="AD7" s="35">
        <f t="shared" si="1"/>
        <v>1940.6399999999999</v>
      </c>
      <c r="AE7" s="35">
        <f t="shared" si="1"/>
        <v>1893.4399999999998</v>
      </c>
      <c r="AF7" s="35">
        <f t="shared" si="1"/>
        <v>1856.5399999999997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87</v>
      </c>
      <c r="C11" s="45">
        <v>87</v>
      </c>
      <c r="D11" s="45">
        <v>87</v>
      </c>
      <c r="E11" s="45">
        <v>87</v>
      </c>
      <c r="F11" s="45">
        <v>87</v>
      </c>
      <c r="G11" s="45">
        <v>86</v>
      </c>
      <c r="H11" s="45">
        <v>86</v>
      </c>
      <c r="I11" s="45">
        <v>86</v>
      </c>
      <c r="J11" s="45">
        <v>86</v>
      </c>
      <c r="K11" s="45">
        <v>86</v>
      </c>
      <c r="L11" s="45">
        <v>86</v>
      </c>
      <c r="M11" s="45">
        <v>90.1</v>
      </c>
      <c r="N11" s="45">
        <v>90.1</v>
      </c>
      <c r="O11" s="45">
        <v>86.7</v>
      </c>
      <c r="P11" s="45">
        <v>86.7</v>
      </c>
      <c r="Q11" s="45">
        <v>86.7</v>
      </c>
      <c r="R11" s="45">
        <v>86.7</v>
      </c>
      <c r="S11" s="45">
        <v>86.7</v>
      </c>
      <c r="T11" s="45">
        <v>86.7</v>
      </c>
      <c r="U11" s="45">
        <v>86.7</v>
      </c>
      <c r="V11" s="45">
        <v>86.7</v>
      </c>
      <c r="W11" s="45">
        <v>86.7</v>
      </c>
      <c r="X11" s="45">
        <v>86.7</v>
      </c>
      <c r="Y11" s="45">
        <v>86.7</v>
      </c>
      <c r="Z11" s="45">
        <v>86.7</v>
      </c>
      <c r="AA11" s="45">
        <v>86.7</v>
      </c>
      <c r="AB11" s="45">
        <v>87</v>
      </c>
      <c r="AC11" s="45">
        <v>87</v>
      </c>
      <c r="AD11" s="45">
        <v>87</v>
      </c>
      <c r="AE11" s="45">
        <v>87</v>
      </c>
      <c r="AF11" s="45">
        <v>87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10</v>
      </c>
      <c r="O12" s="45">
        <v>10</v>
      </c>
      <c r="P12" s="45">
        <v>10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12</v>
      </c>
      <c r="Z12" s="45">
        <v>12</v>
      </c>
      <c r="AA12" s="45">
        <v>12</v>
      </c>
      <c r="AB12" s="45">
        <v>12</v>
      </c>
      <c r="AC12" s="45">
        <v>12</v>
      </c>
      <c r="AD12" s="45">
        <v>12</v>
      </c>
      <c r="AE12" s="45">
        <v>0</v>
      </c>
      <c r="AF12" s="45">
        <v>0</v>
      </c>
      <c r="AG12" s="49">
        <v>54</v>
      </c>
      <c r="AH12" s="47">
        <f t="shared" si="2"/>
        <v>12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54.6</v>
      </c>
      <c r="C13" s="45">
        <v>54.6</v>
      </c>
      <c r="D13" s="45">
        <v>54.6</v>
      </c>
      <c r="E13" s="45">
        <v>54.6</v>
      </c>
      <c r="F13" s="45">
        <v>54.6</v>
      </c>
      <c r="G13" s="45">
        <v>54.8</v>
      </c>
      <c r="H13" s="45">
        <v>54.8</v>
      </c>
      <c r="I13" s="45">
        <v>54.8</v>
      </c>
      <c r="J13" s="45">
        <v>54.8</v>
      </c>
      <c r="K13" s="45">
        <v>54.8</v>
      </c>
      <c r="L13" s="45">
        <v>54.8</v>
      </c>
      <c r="M13" s="45">
        <v>54.7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54.8</v>
      </c>
      <c r="AI13" s="48">
        <f t="shared" si="3"/>
        <v>54.5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50.2</v>
      </c>
      <c r="C14" s="45">
        <v>50.2</v>
      </c>
      <c r="D14" s="45">
        <v>50.2</v>
      </c>
      <c r="E14" s="45">
        <v>50.2</v>
      </c>
      <c r="F14" s="45">
        <v>50.2</v>
      </c>
      <c r="G14" s="58">
        <v>50.2</v>
      </c>
      <c r="H14" s="58">
        <v>50.2</v>
      </c>
      <c r="I14" s="58">
        <v>50.2</v>
      </c>
      <c r="J14" s="58">
        <v>50.2</v>
      </c>
      <c r="K14" s="58">
        <v>50.2</v>
      </c>
      <c r="L14" s="58">
        <v>50.2</v>
      </c>
      <c r="M14" s="58">
        <v>50.4</v>
      </c>
      <c r="N14" s="58">
        <v>50.2</v>
      </c>
      <c r="O14" s="58">
        <v>50.2</v>
      </c>
      <c r="P14" s="58">
        <v>50.2</v>
      </c>
      <c r="Q14" s="58">
        <v>50.2</v>
      </c>
      <c r="R14" s="58">
        <v>50.2</v>
      </c>
      <c r="S14" s="58">
        <v>50.2</v>
      </c>
      <c r="T14" s="58">
        <v>50.2</v>
      </c>
      <c r="U14" s="58">
        <v>50.2</v>
      </c>
      <c r="V14" s="58">
        <v>50.2</v>
      </c>
      <c r="W14" s="58">
        <v>50.2</v>
      </c>
      <c r="X14" s="58">
        <v>50.2</v>
      </c>
      <c r="Y14" s="58">
        <v>50.2</v>
      </c>
      <c r="Z14" s="58">
        <v>50.2</v>
      </c>
      <c r="AA14" s="45">
        <v>50.2</v>
      </c>
      <c r="AB14" s="45">
        <v>50.4</v>
      </c>
      <c r="AC14" s="45">
        <v>50.4</v>
      </c>
      <c r="AD14" s="45">
        <v>50.4</v>
      </c>
      <c r="AE14" s="45">
        <v>50.4</v>
      </c>
      <c r="AF14" s="45">
        <v>50.4</v>
      </c>
      <c r="AG14" s="49">
        <v>50</v>
      </c>
      <c r="AH14" s="47">
        <f t="shared" si="2"/>
        <v>50.4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46</v>
      </c>
      <c r="N15" s="45">
        <v>46.1</v>
      </c>
      <c r="O15" s="45">
        <v>46.1</v>
      </c>
      <c r="P15" s="45">
        <v>46.1</v>
      </c>
      <c r="Q15" s="45">
        <v>46.1</v>
      </c>
      <c r="R15" s="45">
        <v>46.1</v>
      </c>
      <c r="S15" s="45">
        <v>46.1</v>
      </c>
      <c r="T15" s="45">
        <v>46.1</v>
      </c>
      <c r="U15" s="45">
        <v>46.1</v>
      </c>
      <c r="V15" s="45">
        <v>46.1</v>
      </c>
      <c r="W15" s="45">
        <v>46.1</v>
      </c>
      <c r="X15" s="45">
        <v>46.1</v>
      </c>
      <c r="Y15" s="45">
        <v>46.1</v>
      </c>
      <c r="Z15" s="45">
        <v>46.1</v>
      </c>
      <c r="AA15" s="45">
        <v>46.1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46.1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40</v>
      </c>
      <c r="G16" s="45">
        <v>40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27</v>
      </c>
      <c r="G17" s="45">
        <v>27</v>
      </c>
      <c r="H17" s="45">
        <v>27</v>
      </c>
      <c r="I17" s="45">
        <v>27</v>
      </c>
      <c r="J17" s="45">
        <v>27</v>
      </c>
      <c r="K17" s="45">
        <v>27</v>
      </c>
      <c r="L17" s="45">
        <v>27</v>
      </c>
      <c r="M17" s="45">
        <v>28.4</v>
      </c>
      <c r="N17" s="45">
        <v>28</v>
      </c>
      <c r="O17" s="45">
        <v>28</v>
      </c>
      <c r="P17" s="45">
        <v>28</v>
      </c>
      <c r="Q17" s="45">
        <v>22</v>
      </c>
      <c r="R17" s="45">
        <v>22</v>
      </c>
      <c r="S17" s="45">
        <v>22</v>
      </c>
      <c r="T17" s="45">
        <v>22</v>
      </c>
      <c r="U17" s="45">
        <v>22</v>
      </c>
      <c r="V17" s="45">
        <v>22</v>
      </c>
      <c r="W17" s="45">
        <v>22</v>
      </c>
      <c r="X17" s="45">
        <v>22</v>
      </c>
      <c r="Y17" s="45">
        <v>22</v>
      </c>
      <c r="Z17" s="45">
        <v>35.6</v>
      </c>
      <c r="AA17" s="45">
        <v>30</v>
      </c>
      <c r="AB17" s="45">
        <v>31</v>
      </c>
      <c r="AC17" s="45">
        <v>31</v>
      </c>
      <c r="AD17" s="45">
        <v>31</v>
      </c>
      <c r="AE17" s="45">
        <v>28</v>
      </c>
      <c r="AF17" s="45">
        <v>28</v>
      </c>
      <c r="AG17" s="49">
        <v>42</v>
      </c>
      <c r="AH17" s="47">
        <f t="shared" si="2"/>
        <v>35.6</v>
      </c>
      <c r="AI17" s="48">
        <f t="shared" si="3"/>
        <v>22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35</v>
      </c>
      <c r="H18" s="45">
        <v>35</v>
      </c>
      <c r="I18" s="45">
        <v>35</v>
      </c>
      <c r="J18" s="45">
        <v>35</v>
      </c>
      <c r="K18" s="45">
        <v>35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5</v>
      </c>
      <c r="O20" s="45">
        <v>5</v>
      </c>
      <c r="P20" s="45">
        <v>5</v>
      </c>
      <c r="Q20" s="45">
        <v>0</v>
      </c>
      <c r="R20" s="45">
        <v>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0</v>
      </c>
      <c r="Z20" s="45">
        <v>30</v>
      </c>
      <c r="AA20" s="45">
        <v>20</v>
      </c>
      <c r="AB20" s="45">
        <v>20</v>
      </c>
      <c r="AC20" s="45">
        <v>20</v>
      </c>
      <c r="AD20" s="45">
        <v>15</v>
      </c>
      <c r="AE20" s="45">
        <v>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25.7</v>
      </c>
      <c r="C21" s="45">
        <v>25.7</v>
      </c>
      <c r="D21" s="45">
        <v>25.7</v>
      </c>
      <c r="E21" s="45">
        <v>25.7</v>
      </c>
      <c r="F21" s="45">
        <v>26</v>
      </c>
      <c r="G21" s="45">
        <v>26</v>
      </c>
      <c r="H21" s="45">
        <v>26</v>
      </c>
      <c r="I21" s="45">
        <v>26</v>
      </c>
      <c r="J21" s="45">
        <v>26</v>
      </c>
      <c r="K21" s="45">
        <v>26</v>
      </c>
      <c r="L21" s="45">
        <v>26</v>
      </c>
      <c r="M21" s="45">
        <v>16.3</v>
      </c>
      <c r="N21" s="45">
        <v>16.2</v>
      </c>
      <c r="O21" s="45">
        <v>16.2</v>
      </c>
      <c r="P21" s="45">
        <v>24.8</v>
      </c>
      <c r="Q21" s="45">
        <v>16.5</v>
      </c>
      <c r="R21" s="45">
        <v>16.5</v>
      </c>
      <c r="S21" s="45">
        <v>16.5</v>
      </c>
      <c r="T21" s="45">
        <v>16.5</v>
      </c>
      <c r="U21" s="45">
        <v>16.5</v>
      </c>
      <c r="V21" s="45">
        <v>16.5</v>
      </c>
      <c r="W21" s="45">
        <v>16.5</v>
      </c>
      <c r="X21" s="45">
        <v>16.5</v>
      </c>
      <c r="Y21" s="45">
        <v>16.5</v>
      </c>
      <c r="Z21" s="45">
        <v>16.5</v>
      </c>
      <c r="AA21" s="45">
        <v>16.5</v>
      </c>
      <c r="AB21" s="45">
        <v>32.9</v>
      </c>
      <c r="AC21" s="45">
        <v>32.9</v>
      </c>
      <c r="AD21" s="45">
        <v>32.9</v>
      </c>
      <c r="AE21" s="45">
        <v>32.9</v>
      </c>
      <c r="AF21" s="45">
        <v>32.9</v>
      </c>
      <c r="AG21" s="49">
        <v>24.2</v>
      </c>
      <c r="AH21" s="47">
        <f t="shared" si="2"/>
        <v>32.9</v>
      </c>
      <c r="AI21" s="48">
        <f t="shared" si="3"/>
        <v>16.2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15.4</v>
      </c>
      <c r="C22" s="45">
        <v>15.4</v>
      </c>
      <c r="D22" s="45">
        <v>15.4</v>
      </c>
      <c r="E22" s="45">
        <v>15.4</v>
      </c>
      <c r="F22" s="45">
        <v>15.4</v>
      </c>
      <c r="G22" s="45">
        <v>15.4</v>
      </c>
      <c r="H22" s="45">
        <v>15.4</v>
      </c>
      <c r="I22" s="45">
        <v>15.4</v>
      </c>
      <c r="J22" s="45">
        <v>15.4</v>
      </c>
      <c r="K22" s="45">
        <v>15.4</v>
      </c>
      <c r="L22" s="45">
        <v>15.4</v>
      </c>
      <c r="M22" s="45">
        <v>15.4</v>
      </c>
      <c r="N22" s="45">
        <v>15.4</v>
      </c>
      <c r="O22" s="45">
        <v>15.4</v>
      </c>
      <c r="P22" s="45">
        <v>15.4</v>
      </c>
      <c r="Q22" s="45">
        <v>15.4</v>
      </c>
      <c r="R22" s="45">
        <v>15.4</v>
      </c>
      <c r="S22" s="45">
        <v>15.4</v>
      </c>
      <c r="T22" s="45">
        <v>15.4</v>
      </c>
      <c r="U22" s="45">
        <v>15.4</v>
      </c>
      <c r="V22" s="45">
        <v>15.4</v>
      </c>
      <c r="W22" s="45">
        <v>15.4</v>
      </c>
      <c r="X22" s="45">
        <v>15.4</v>
      </c>
      <c r="Y22" s="45">
        <v>15.4</v>
      </c>
      <c r="Z22" s="45">
        <v>15.4</v>
      </c>
      <c r="AA22" s="45">
        <v>15.4</v>
      </c>
      <c r="AB22" s="45">
        <v>15.3</v>
      </c>
      <c r="AC22" s="45">
        <v>15.3</v>
      </c>
      <c r="AD22" s="45">
        <v>15.3</v>
      </c>
      <c r="AE22" s="45">
        <v>15.3</v>
      </c>
      <c r="AF22" s="45">
        <v>15.3</v>
      </c>
      <c r="AG22" s="49">
        <v>28</v>
      </c>
      <c r="AH22" s="47">
        <f t="shared" si="2"/>
        <v>15.4</v>
      </c>
      <c r="AI22" s="48">
        <f t="shared" si="3"/>
        <v>15.3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0</v>
      </c>
      <c r="AA23" s="45">
        <v>0</v>
      </c>
      <c r="AB23" s="45">
        <v>0</v>
      </c>
      <c r="AC23" s="45">
        <v>0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0</v>
      </c>
      <c r="N24" s="45">
        <v>0</v>
      </c>
      <c r="O24" s="45">
        <v>0</v>
      </c>
      <c r="P24" s="45">
        <v>0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25.4</v>
      </c>
      <c r="AC24" s="45">
        <v>25.4</v>
      </c>
      <c r="AD24" s="45">
        <v>25.4</v>
      </c>
      <c r="AE24" s="45">
        <v>25.4</v>
      </c>
      <c r="AF24" s="45">
        <v>25.4</v>
      </c>
      <c r="AG24" s="49">
        <v>25</v>
      </c>
      <c r="AH24" s="47">
        <f t="shared" si="2"/>
        <v>25.4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20</v>
      </c>
      <c r="G26" s="45">
        <v>20</v>
      </c>
      <c r="H26" s="45">
        <v>20</v>
      </c>
      <c r="I26" s="45">
        <v>20</v>
      </c>
      <c r="J26" s="45">
        <v>20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5</v>
      </c>
      <c r="O27" s="45">
        <v>5</v>
      </c>
      <c r="P27" s="45">
        <v>5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12</v>
      </c>
      <c r="Z27" s="45">
        <v>25</v>
      </c>
      <c r="AA27" s="45">
        <v>25</v>
      </c>
      <c r="AB27" s="45">
        <v>25</v>
      </c>
      <c r="AC27" s="45">
        <v>25</v>
      </c>
      <c r="AD27" s="45">
        <v>12</v>
      </c>
      <c r="AE27" s="45">
        <v>0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24.5</v>
      </c>
      <c r="C28" s="45">
        <v>24.5</v>
      </c>
      <c r="D28" s="45">
        <v>24.5</v>
      </c>
      <c r="E28" s="45">
        <v>24.5</v>
      </c>
      <c r="F28" s="45">
        <v>24.5</v>
      </c>
      <c r="G28" s="45">
        <v>24.5</v>
      </c>
      <c r="H28" s="45">
        <v>24.5</v>
      </c>
      <c r="I28" s="45">
        <v>24.5</v>
      </c>
      <c r="J28" s="45">
        <v>24.5</v>
      </c>
      <c r="K28" s="45">
        <v>24.5</v>
      </c>
      <c r="L28" s="45">
        <v>24.5</v>
      </c>
      <c r="M28" s="45">
        <v>24.5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18</v>
      </c>
      <c r="G29" s="45">
        <v>18</v>
      </c>
      <c r="H29" s="45">
        <v>18</v>
      </c>
      <c r="I29" s="45">
        <v>18</v>
      </c>
      <c r="J29" s="45">
        <v>18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18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15</v>
      </c>
      <c r="C32" s="45">
        <v>15</v>
      </c>
      <c r="D32" s="45">
        <v>15</v>
      </c>
      <c r="E32" s="45">
        <v>15</v>
      </c>
      <c r="F32" s="45">
        <v>19</v>
      </c>
      <c r="G32" s="45">
        <v>19</v>
      </c>
      <c r="H32" s="45">
        <v>19</v>
      </c>
      <c r="I32" s="45">
        <v>19</v>
      </c>
      <c r="J32" s="45">
        <v>19</v>
      </c>
      <c r="K32" s="45">
        <v>19</v>
      </c>
      <c r="L32" s="45">
        <v>19</v>
      </c>
      <c r="M32" s="45">
        <v>19</v>
      </c>
      <c r="N32" s="45">
        <v>19</v>
      </c>
      <c r="O32" s="45">
        <v>19</v>
      </c>
      <c r="P32" s="45">
        <v>19</v>
      </c>
      <c r="Q32" s="45">
        <v>19</v>
      </c>
      <c r="R32" s="45">
        <v>19</v>
      </c>
      <c r="S32" s="45">
        <v>19</v>
      </c>
      <c r="T32" s="45">
        <v>19</v>
      </c>
      <c r="U32" s="45">
        <v>19</v>
      </c>
      <c r="V32" s="45">
        <v>19</v>
      </c>
      <c r="W32" s="45">
        <v>19</v>
      </c>
      <c r="X32" s="45">
        <v>19</v>
      </c>
      <c r="Y32" s="45">
        <v>19</v>
      </c>
      <c r="Z32" s="45">
        <v>19</v>
      </c>
      <c r="AA32" s="45">
        <v>19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15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5</v>
      </c>
      <c r="O33" s="45">
        <v>5</v>
      </c>
      <c r="P33" s="45">
        <v>5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5</v>
      </c>
      <c r="Z33" s="45">
        <v>5</v>
      </c>
      <c r="AA33" s="45">
        <v>5</v>
      </c>
      <c r="AB33" s="45">
        <v>5</v>
      </c>
      <c r="AC33" s="45">
        <v>10</v>
      </c>
      <c r="AD33" s="45">
        <v>5</v>
      </c>
      <c r="AE33" s="45">
        <v>5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5</v>
      </c>
      <c r="O34" s="45">
        <v>5</v>
      </c>
      <c r="P34" s="45">
        <v>5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5</v>
      </c>
      <c r="Z34" s="45">
        <v>5</v>
      </c>
      <c r="AA34" s="45">
        <v>5</v>
      </c>
      <c r="AB34" s="45">
        <v>5</v>
      </c>
      <c r="AC34" s="45">
        <v>9</v>
      </c>
      <c r="AD34" s="45">
        <v>4</v>
      </c>
      <c r="AE34" s="45">
        <v>4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13</v>
      </c>
      <c r="H35" s="45">
        <v>13</v>
      </c>
      <c r="I35" s="45">
        <v>13</v>
      </c>
      <c r="J35" s="45">
        <v>13</v>
      </c>
      <c r="K35" s="45">
        <v>13</v>
      </c>
      <c r="L35" s="45">
        <v>13</v>
      </c>
      <c r="M35" s="45">
        <v>13</v>
      </c>
      <c r="N35" s="45">
        <v>13</v>
      </c>
      <c r="O35" s="45">
        <v>13</v>
      </c>
      <c r="P35" s="45">
        <v>13</v>
      </c>
      <c r="Q35" s="45">
        <v>13</v>
      </c>
      <c r="R35" s="45">
        <v>13</v>
      </c>
      <c r="S35" s="45">
        <v>13</v>
      </c>
      <c r="T35" s="45">
        <v>13</v>
      </c>
      <c r="U35" s="45">
        <v>13</v>
      </c>
      <c r="V35" s="45">
        <v>13</v>
      </c>
      <c r="W35" s="45">
        <v>13</v>
      </c>
      <c r="X35" s="45">
        <v>13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5</v>
      </c>
      <c r="O39" s="45">
        <v>5</v>
      </c>
      <c r="P39" s="45">
        <v>5</v>
      </c>
      <c r="Q39" s="45">
        <v>5</v>
      </c>
      <c r="R39" s="45">
        <v>5</v>
      </c>
      <c r="S39" s="45">
        <v>5</v>
      </c>
      <c r="T39" s="45">
        <v>5</v>
      </c>
      <c r="U39" s="45">
        <v>5</v>
      </c>
      <c r="V39" s="45">
        <v>5</v>
      </c>
      <c r="W39" s="45">
        <v>5</v>
      </c>
      <c r="X39" s="45">
        <v>5</v>
      </c>
      <c r="Y39" s="45">
        <v>5</v>
      </c>
      <c r="Z39" s="45">
        <v>12</v>
      </c>
      <c r="AA39" s="45">
        <v>12</v>
      </c>
      <c r="AB39" s="45">
        <v>12</v>
      </c>
      <c r="AC39" s="45">
        <v>12</v>
      </c>
      <c r="AD39" s="45">
        <v>5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54">
        <v>10</v>
      </c>
      <c r="AH46" s="47">
        <f t="shared" si="2"/>
        <v>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v>99</v>
      </c>
      <c r="C49" s="56">
        <v>99</v>
      </c>
      <c r="D49" s="56">
        <v>99</v>
      </c>
      <c r="E49" s="56">
        <v>99</v>
      </c>
      <c r="F49" s="56">
        <v>102</v>
      </c>
      <c r="G49" s="56">
        <v>102</v>
      </c>
      <c r="H49" s="56">
        <v>102</v>
      </c>
      <c r="I49" s="56">
        <v>105</v>
      </c>
      <c r="J49" s="56">
        <v>102</v>
      </c>
      <c r="K49" s="56">
        <v>102</v>
      </c>
      <c r="L49" s="56">
        <v>102</v>
      </c>
      <c r="M49" s="58">
        <f>90.6+11</f>
        <v>101.6</v>
      </c>
      <c r="N49" s="58">
        <f>93.1+10.3</f>
        <v>103.39999999999999</v>
      </c>
      <c r="O49" s="58">
        <f>87.3+10.6</f>
        <v>97.899999999999991</v>
      </c>
      <c r="P49" s="58">
        <f>97.1+8.9</f>
        <v>106</v>
      </c>
      <c r="Q49" s="58">
        <f>97.2+6.5</f>
        <v>103.7</v>
      </c>
      <c r="R49" s="58">
        <f t="shared" ref="R49:Z49" si="4">75.6+10.5</f>
        <v>86.1</v>
      </c>
      <c r="S49" s="58">
        <f t="shared" si="4"/>
        <v>86.1</v>
      </c>
      <c r="T49" s="58">
        <f t="shared" si="4"/>
        <v>86.1</v>
      </c>
      <c r="U49" s="58">
        <f t="shared" si="4"/>
        <v>86.1</v>
      </c>
      <c r="V49" s="58">
        <f t="shared" si="4"/>
        <v>86.1</v>
      </c>
      <c r="W49" s="58">
        <f t="shared" si="4"/>
        <v>86.1</v>
      </c>
      <c r="X49" s="58">
        <f t="shared" si="4"/>
        <v>86.1</v>
      </c>
      <c r="Y49" s="58">
        <f t="shared" si="4"/>
        <v>86.1</v>
      </c>
      <c r="Z49" s="58">
        <f t="shared" si="4"/>
        <v>86.1</v>
      </c>
      <c r="AA49" s="56">
        <f>75.6+10.5</f>
        <v>86.1</v>
      </c>
      <c r="AB49" s="56">
        <v>84.8</v>
      </c>
      <c r="AC49" s="56">
        <v>84.8</v>
      </c>
      <c r="AD49" s="56">
        <f>74+24</f>
        <v>98</v>
      </c>
      <c r="AE49" s="56">
        <f>74+24</f>
        <v>98</v>
      </c>
      <c r="AF49" s="56">
        <f>74+24</f>
        <v>98</v>
      </c>
      <c r="AG49" s="54">
        <v>240</v>
      </c>
      <c r="AH49" s="47">
        <f t="shared" si="2"/>
        <v>106</v>
      </c>
      <c r="AI49" s="48">
        <f t="shared" si="3"/>
        <v>84.8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1033.4000000000001</v>
      </c>
      <c r="C50" s="60">
        <f t="shared" si="5"/>
        <v>1033.4000000000001</v>
      </c>
      <c r="D50" s="60">
        <f t="shared" si="5"/>
        <v>1028.4000000000001</v>
      </c>
      <c r="E50" s="60">
        <f t="shared" si="5"/>
        <v>1028.4000000000001</v>
      </c>
      <c r="F50" s="60">
        <f t="shared" si="5"/>
        <v>1015.7</v>
      </c>
      <c r="G50" s="60">
        <f t="shared" si="5"/>
        <v>1009.9</v>
      </c>
      <c r="H50" s="60">
        <f t="shared" si="5"/>
        <v>969.9</v>
      </c>
      <c r="I50" s="60">
        <f t="shared" si="5"/>
        <v>969.9</v>
      </c>
      <c r="J50" s="60">
        <f t="shared" si="5"/>
        <v>969.9</v>
      </c>
      <c r="K50" s="60">
        <f t="shared" si="5"/>
        <v>978.9</v>
      </c>
      <c r="L50" s="60">
        <f t="shared" si="5"/>
        <v>978.9</v>
      </c>
      <c r="M50" s="60">
        <f t="shared" si="5"/>
        <v>960.3</v>
      </c>
      <c r="N50" s="60">
        <f t="shared" si="5"/>
        <v>994.89999999999986</v>
      </c>
      <c r="O50" s="60">
        <f t="shared" si="5"/>
        <v>991.5</v>
      </c>
      <c r="P50" s="60">
        <f t="shared" si="5"/>
        <v>1000.0999999999999</v>
      </c>
      <c r="Q50" s="60">
        <f t="shared" si="5"/>
        <v>945.3</v>
      </c>
      <c r="R50" s="60">
        <f t="shared" si="5"/>
        <v>945.3</v>
      </c>
      <c r="S50" s="60">
        <f>SUM(S11:S48)</f>
        <v>945.3</v>
      </c>
      <c r="T50" s="60">
        <f>SUM(T11:T48)</f>
        <v>945.3</v>
      </c>
      <c r="U50" s="60">
        <f>SUM(U11:U48)</f>
        <v>945.3</v>
      </c>
      <c r="V50" s="60">
        <f>SUM(V11:V48)</f>
        <v>945.3</v>
      </c>
      <c r="W50" s="60">
        <f t="shared" si="5"/>
        <v>945.3</v>
      </c>
      <c r="X50" s="60">
        <f t="shared" si="5"/>
        <v>945.3</v>
      </c>
      <c r="Y50" s="60">
        <f>SUM(Y11:Y48)</f>
        <v>966.3</v>
      </c>
      <c r="Z50" s="60">
        <f>SUM(Z11:Z48)</f>
        <v>1029.8999999999999</v>
      </c>
      <c r="AA50" s="60">
        <f>SUM(AA11:AA48)</f>
        <v>1014.3</v>
      </c>
      <c r="AB50" s="60">
        <f t="shared" si="5"/>
        <v>1035.8999999999999</v>
      </c>
      <c r="AC50" s="60">
        <f t="shared" si="5"/>
        <v>1044.8999999999999</v>
      </c>
      <c r="AD50" s="60">
        <f t="shared" si="5"/>
        <v>1009.8999999999999</v>
      </c>
      <c r="AE50" s="60">
        <f t="shared" si="5"/>
        <v>962.89999999999986</v>
      </c>
      <c r="AF50" s="60">
        <f t="shared" si="5"/>
        <v>953.89999999999986</v>
      </c>
      <c r="AG50" s="61">
        <f>SUM(AG13:AG48)</f>
        <v>922.14</v>
      </c>
      <c r="AH50" s="47">
        <f t="shared" si="2"/>
        <v>1044.8999999999999</v>
      </c>
      <c r="AI50" s="48">
        <f t="shared" si="3"/>
        <v>945.3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55</v>
      </c>
      <c r="L52" s="64">
        <v>55</v>
      </c>
      <c r="M52" s="64">
        <v>40</v>
      </c>
      <c r="N52" s="64">
        <v>40</v>
      </c>
      <c r="O52" s="64">
        <v>40</v>
      </c>
      <c r="P52" s="64">
        <v>40</v>
      </c>
      <c r="Q52" s="64">
        <v>50</v>
      </c>
      <c r="R52" s="64">
        <v>50</v>
      </c>
      <c r="S52" s="64">
        <v>50</v>
      </c>
      <c r="T52" s="64">
        <v>50</v>
      </c>
      <c r="U52" s="64">
        <v>50</v>
      </c>
      <c r="V52" s="64">
        <v>50</v>
      </c>
      <c r="W52" s="64">
        <v>50</v>
      </c>
      <c r="X52" s="64">
        <v>50</v>
      </c>
      <c r="Y52" s="64">
        <v>50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40</v>
      </c>
      <c r="AK52" s="50"/>
    </row>
    <row r="53" spans="1:41" ht="15.75" thickBot="1" x14ac:dyDescent="0.3">
      <c r="A53" s="65" t="s">
        <v>61</v>
      </c>
      <c r="B53" s="66">
        <v>20.100000000000001</v>
      </c>
      <c r="C53" s="66">
        <v>20.100000000000001</v>
      </c>
      <c r="D53" s="66">
        <v>20.100000000000001</v>
      </c>
      <c r="E53" s="66">
        <v>20.100000000000001</v>
      </c>
      <c r="F53" s="66">
        <v>21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531.1</v>
      </c>
      <c r="C54" s="60">
        <f t="shared" si="6"/>
        <v>531.1</v>
      </c>
      <c r="D54" s="60">
        <f t="shared" si="6"/>
        <v>531.1</v>
      </c>
      <c r="E54" s="60">
        <f t="shared" si="6"/>
        <v>531.1</v>
      </c>
      <c r="F54" s="60">
        <f t="shared" si="6"/>
        <v>532</v>
      </c>
      <c r="G54" s="60">
        <f t="shared" si="6"/>
        <v>533</v>
      </c>
      <c r="H54" s="60">
        <f t="shared" si="6"/>
        <v>533</v>
      </c>
      <c r="I54" s="60">
        <f t="shared" si="6"/>
        <v>533</v>
      </c>
      <c r="J54" s="60">
        <f t="shared" si="6"/>
        <v>533</v>
      </c>
      <c r="K54" s="60">
        <f t="shared" si="6"/>
        <v>533</v>
      </c>
      <c r="L54" s="60">
        <f t="shared" si="6"/>
        <v>533</v>
      </c>
      <c r="M54" s="60">
        <f t="shared" si="6"/>
        <v>518</v>
      </c>
      <c r="N54" s="60">
        <f t="shared" si="6"/>
        <v>518</v>
      </c>
      <c r="O54" s="60">
        <f t="shared" si="6"/>
        <v>518</v>
      </c>
      <c r="P54" s="60">
        <f t="shared" si="6"/>
        <v>518</v>
      </c>
      <c r="Q54" s="60">
        <f t="shared" si="6"/>
        <v>528</v>
      </c>
      <c r="R54" s="60">
        <f t="shared" si="6"/>
        <v>528</v>
      </c>
      <c r="S54" s="60">
        <f>SUM(S51:S53)</f>
        <v>528</v>
      </c>
      <c r="T54" s="60">
        <f>SUM(T51:T53)</f>
        <v>528</v>
      </c>
      <c r="U54" s="60">
        <f>SUM(U51:U53)</f>
        <v>528</v>
      </c>
      <c r="V54" s="60">
        <f>SUM(V51:V53)</f>
        <v>528</v>
      </c>
      <c r="W54" s="60">
        <f t="shared" si="6"/>
        <v>528</v>
      </c>
      <c r="X54" s="60">
        <f t="shared" si="6"/>
        <v>528</v>
      </c>
      <c r="Y54" s="60">
        <f>SUM(Y51:Y53)</f>
        <v>528</v>
      </c>
      <c r="Z54" s="60">
        <f>SUM(Z51:Z53)</f>
        <v>538</v>
      </c>
      <c r="AA54" s="60">
        <f>SUM(AA51:AA53)</f>
        <v>538</v>
      </c>
      <c r="AB54" s="60">
        <f t="shared" si="6"/>
        <v>538</v>
      </c>
      <c r="AC54" s="60">
        <f t="shared" si="6"/>
        <v>538</v>
      </c>
      <c r="AD54" s="60">
        <f t="shared" si="6"/>
        <v>538</v>
      </c>
      <c r="AE54" s="60">
        <f t="shared" si="6"/>
        <v>538</v>
      </c>
      <c r="AF54" s="60">
        <f t="shared" si="6"/>
        <v>538</v>
      </c>
      <c r="AG54" s="61">
        <f t="shared" si="6"/>
        <v>538.1</v>
      </c>
      <c r="AH54" s="47">
        <f t="shared" si="2"/>
        <v>538</v>
      </c>
      <c r="AI54" s="48">
        <f t="shared" si="3"/>
        <v>518</v>
      </c>
      <c r="AK54" s="50"/>
    </row>
    <row r="55" spans="1:41" x14ac:dyDescent="0.25">
      <c r="A55" s="44" t="s">
        <v>63</v>
      </c>
      <c r="B55" s="45">
        <v>110</v>
      </c>
      <c r="C55" s="45">
        <v>110</v>
      </c>
      <c r="D55" s="45">
        <v>110</v>
      </c>
      <c r="E55" s="45">
        <v>40</v>
      </c>
      <c r="F55" s="45">
        <v>110</v>
      </c>
      <c r="G55" s="45">
        <v>110</v>
      </c>
      <c r="H55" s="45">
        <v>125</v>
      </c>
      <c r="I55" s="45">
        <v>133</v>
      </c>
      <c r="J55" s="45">
        <v>133</v>
      </c>
      <c r="K55" s="45">
        <v>131</v>
      </c>
      <c r="L55" s="45">
        <v>131</v>
      </c>
      <c r="M55" s="45">
        <v>131</v>
      </c>
      <c r="N55" s="45">
        <v>131</v>
      </c>
      <c r="O55" s="45">
        <v>131</v>
      </c>
      <c r="P55" s="45">
        <v>72</v>
      </c>
      <c r="Q55" s="45">
        <v>72</v>
      </c>
      <c r="R55" s="45">
        <v>72</v>
      </c>
      <c r="S55" s="45">
        <v>92</v>
      </c>
      <c r="T55" s="45">
        <v>110</v>
      </c>
      <c r="U55" s="45">
        <v>110</v>
      </c>
      <c r="V55" s="45">
        <v>110</v>
      </c>
      <c r="W55" s="45">
        <v>110</v>
      </c>
      <c r="X55" s="45">
        <v>110</v>
      </c>
      <c r="Y55" s="45">
        <v>132.5</v>
      </c>
      <c r="Z55" s="45">
        <v>132.5</v>
      </c>
      <c r="AA55" s="45">
        <v>132.5</v>
      </c>
      <c r="AB55" s="45">
        <v>121.5</v>
      </c>
      <c r="AC55" s="45">
        <v>121</v>
      </c>
      <c r="AD55" s="45">
        <v>121</v>
      </c>
      <c r="AE55" s="45">
        <v>121</v>
      </c>
      <c r="AF55" s="45">
        <v>111</v>
      </c>
      <c r="AG55" s="51">
        <v>144</v>
      </c>
      <c r="AH55" s="47">
        <f t="shared" si="2"/>
        <v>133</v>
      </c>
      <c r="AI55" s="48">
        <f t="shared" si="3"/>
        <v>40</v>
      </c>
      <c r="AK55" s="50"/>
    </row>
    <row r="56" spans="1:41" x14ac:dyDescent="0.25">
      <c r="A56" s="53" t="s">
        <v>64</v>
      </c>
      <c r="B56" s="45">
        <v>50.5</v>
      </c>
      <c r="C56" s="45">
        <v>50.5</v>
      </c>
      <c r="D56" s="45">
        <v>50.5</v>
      </c>
      <c r="E56" s="45">
        <v>34.799999999999997</v>
      </c>
      <c r="F56" s="64">
        <v>48.3</v>
      </c>
      <c r="G56" s="64">
        <v>47.7</v>
      </c>
      <c r="H56" s="64">
        <v>49.3</v>
      </c>
      <c r="I56" s="64">
        <v>61.4</v>
      </c>
      <c r="J56" s="64">
        <v>60.2</v>
      </c>
      <c r="K56" s="64">
        <v>60.3</v>
      </c>
      <c r="L56" s="64">
        <v>60.3</v>
      </c>
      <c r="M56" s="64">
        <v>68.900000000000006</v>
      </c>
      <c r="N56" s="64">
        <v>68.8</v>
      </c>
      <c r="O56" s="64">
        <v>68.8</v>
      </c>
      <c r="P56" s="64">
        <v>48.4</v>
      </c>
      <c r="Q56" s="64">
        <v>46.8</v>
      </c>
      <c r="R56" s="64">
        <v>60</v>
      </c>
      <c r="S56" s="64">
        <v>47.2</v>
      </c>
      <c r="T56" s="64">
        <v>47.2</v>
      </c>
      <c r="U56" s="64">
        <v>47.2</v>
      </c>
      <c r="V56" s="64">
        <v>47.2</v>
      </c>
      <c r="W56" s="64">
        <v>47.2</v>
      </c>
      <c r="X56" s="64">
        <v>47.2</v>
      </c>
      <c r="Y56" s="64">
        <v>68.5</v>
      </c>
      <c r="Z56" s="64">
        <v>71.2</v>
      </c>
      <c r="AA56" s="45">
        <v>71.8</v>
      </c>
      <c r="AB56" s="45">
        <v>59.2</v>
      </c>
      <c r="AC56" s="45">
        <v>59.2</v>
      </c>
      <c r="AD56" s="45">
        <v>59.2</v>
      </c>
      <c r="AE56" s="45">
        <v>65</v>
      </c>
      <c r="AF56" s="45">
        <v>56</v>
      </c>
      <c r="AG56" s="54">
        <v>70</v>
      </c>
      <c r="AH56" s="47">
        <f t="shared" si="2"/>
        <v>71.8</v>
      </c>
      <c r="AI56" s="48">
        <f t="shared" si="3"/>
        <v>34.799999999999997</v>
      </c>
      <c r="AK56" s="50"/>
    </row>
    <row r="57" spans="1:41" x14ac:dyDescent="0.25">
      <c r="A57" s="53" t="s">
        <v>65</v>
      </c>
      <c r="B57" s="45">
        <v>55</v>
      </c>
      <c r="C57" s="45">
        <v>54.7</v>
      </c>
      <c r="D57" s="45">
        <v>55</v>
      </c>
      <c r="E57" s="45">
        <v>61.7</v>
      </c>
      <c r="F57" s="64">
        <v>46</v>
      </c>
      <c r="G57" s="64">
        <v>41.6</v>
      </c>
      <c r="H57" s="64">
        <v>45.4</v>
      </c>
      <c r="I57" s="64">
        <v>45.4</v>
      </c>
      <c r="J57" s="64">
        <v>62.6</v>
      </c>
      <c r="K57" s="64">
        <v>62.8</v>
      </c>
      <c r="L57" s="64">
        <v>62.8</v>
      </c>
      <c r="M57" s="64">
        <v>62.5</v>
      </c>
      <c r="N57" s="64">
        <v>63</v>
      </c>
      <c r="O57" s="64">
        <v>63</v>
      </c>
      <c r="P57" s="64">
        <v>48</v>
      </c>
      <c r="Q57" s="64">
        <v>54.4</v>
      </c>
      <c r="R57" s="64">
        <v>62.1</v>
      </c>
      <c r="S57" s="64">
        <v>51.5</v>
      </c>
      <c r="T57" s="64">
        <v>51.5</v>
      </c>
      <c r="U57" s="64">
        <v>51.5</v>
      </c>
      <c r="V57" s="64">
        <v>51.5</v>
      </c>
      <c r="W57" s="64">
        <v>51.5</v>
      </c>
      <c r="X57" s="64">
        <v>51.5</v>
      </c>
      <c r="Y57" s="64">
        <v>63.4</v>
      </c>
      <c r="Z57" s="64">
        <v>62.7</v>
      </c>
      <c r="AA57" s="45">
        <v>49.7</v>
      </c>
      <c r="AB57" s="45">
        <v>55.6</v>
      </c>
      <c r="AC57" s="45">
        <v>55.6</v>
      </c>
      <c r="AD57" s="45">
        <v>62</v>
      </c>
      <c r="AE57" s="45">
        <v>62</v>
      </c>
      <c r="AF57" s="45">
        <v>52</v>
      </c>
      <c r="AG57" s="54">
        <v>69</v>
      </c>
      <c r="AH57" s="47">
        <f t="shared" si="2"/>
        <v>63.4</v>
      </c>
      <c r="AI57" s="48">
        <f t="shared" si="3"/>
        <v>41.6</v>
      </c>
      <c r="AK57" s="50"/>
    </row>
    <row r="58" spans="1:41" x14ac:dyDescent="0.25">
      <c r="A58" s="53" t="s">
        <v>66</v>
      </c>
      <c r="B58" s="45">
        <v>21.7</v>
      </c>
      <c r="C58" s="45">
        <v>21.7</v>
      </c>
      <c r="D58" s="45">
        <v>21.7</v>
      </c>
      <c r="E58" s="45">
        <v>30</v>
      </c>
      <c r="F58" s="56">
        <v>26</v>
      </c>
      <c r="G58" s="56">
        <v>21.7</v>
      </c>
      <c r="H58" s="56">
        <v>21.7</v>
      </c>
      <c r="I58" s="56">
        <v>30.5</v>
      </c>
      <c r="J58" s="56">
        <v>30.7</v>
      </c>
      <c r="K58" s="56">
        <v>30.7</v>
      </c>
      <c r="L58" s="56">
        <v>30.7</v>
      </c>
      <c r="M58" s="64">
        <v>30.5</v>
      </c>
      <c r="N58" s="64">
        <v>21.4</v>
      </c>
      <c r="O58" s="64">
        <v>21.4</v>
      </c>
      <c r="P58" s="64">
        <v>21.4</v>
      </c>
      <c r="Q58" s="64">
        <v>21.4</v>
      </c>
      <c r="R58" s="64">
        <v>21.7</v>
      </c>
      <c r="S58" s="64">
        <v>21.7</v>
      </c>
      <c r="T58" s="64">
        <v>21.4</v>
      </c>
      <c r="U58" s="64">
        <v>21.4</v>
      </c>
      <c r="V58" s="64">
        <v>21.4</v>
      </c>
      <c r="W58" s="64">
        <v>21.4</v>
      </c>
      <c r="X58" s="64">
        <v>21.4</v>
      </c>
      <c r="Y58" s="64">
        <v>0</v>
      </c>
      <c r="Z58" s="64">
        <v>0</v>
      </c>
      <c r="AA58" s="45">
        <v>60</v>
      </c>
      <c r="AB58" s="45">
        <v>60</v>
      </c>
      <c r="AC58" s="45">
        <v>50</v>
      </c>
      <c r="AD58" s="45">
        <v>50</v>
      </c>
      <c r="AE58" s="45">
        <v>50</v>
      </c>
      <c r="AF58" s="45">
        <v>44</v>
      </c>
      <c r="AG58" s="54">
        <v>60</v>
      </c>
      <c r="AH58" s="47">
        <f t="shared" si="2"/>
        <v>60</v>
      </c>
      <c r="AI58" s="48">
        <f t="shared" si="3"/>
        <v>0</v>
      </c>
      <c r="AK58" s="50"/>
    </row>
    <row r="59" spans="1:41" x14ac:dyDescent="0.25">
      <c r="A59" s="53" t="s">
        <v>67</v>
      </c>
      <c r="B59" s="45">
        <v>28</v>
      </c>
      <c r="C59" s="45">
        <v>28</v>
      </c>
      <c r="D59" s="45">
        <v>28</v>
      </c>
      <c r="E59" s="45">
        <v>28</v>
      </c>
      <c r="F59" s="56">
        <v>15</v>
      </c>
      <c r="G59" s="56">
        <v>15</v>
      </c>
      <c r="H59" s="56">
        <v>15</v>
      </c>
      <c r="I59" s="56">
        <v>15</v>
      </c>
      <c r="J59" s="56">
        <v>24</v>
      </c>
      <c r="K59" s="56">
        <v>24</v>
      </c>
      <c r="L59" s="56">
        <v>24</v>
      </c>
      <c r="M59" s="64">
        <v>15</v>
      </c>
      <c r="N59" s="64">
        <v>28</v>
      </c>
      <c r="O59" s="64">
        <v>28</v>
      </c>
      <c r="P59" s="64">
        <v>28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64">
        <v>15</v>
      </c>
      <c r="Z59" s="64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15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64">
        <v>0</v>
      </c>
      <c r="N60" s="64">
        <v>0</v>
      </c>
      <c r="O60" s="64">
        <v>12.1</v>
      </c>
      <c r="P60" s="64">
        <v>16.100000000000001</v>
      </c>
      <c r="Q60" s="64">
        <v>13.9</v>
      </c>
      <c r="R60" s="64">
        <v>12.6</v>
      </c>
      <c r="S60" s="64">
        <v>10.5</v>
      </c>
      <c r="T60" s="64">
        <v>9.8000000000000007</v>
      </c>
      <c r="U60" s="64">
        <v>5.6</v>
      </c>
      <c r="V60" s="64">
        <v>4.2</v>
      </c>
      <c r="W60" s="64">
        <v>5.6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16.100000000000001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</v>
      </c>
      <c r="G61" s="64">
        <v>13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13</v>
      </c>
      <c r="Z61" s="64">
        <v>13</v>
      </c>
      <c r="AA61" s="64">
        <v>13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13</v>
      </c>
      <c r="AK61" s="50"/>
    </row>
    <row r="62" spans="1:41" x14ac:dyDescent="0.25">
      <c r="A62" s="53" t="s">
        <v>70</v>
      </c>
      <c r="B62" s="64">
        <v>4.5999999999999996</v>
      </c>
      <c r="C62" s="64">
        <v>4.5999999999999996</v>
      </c>
      <c r="D62" s="64">
        <v>4.5999999999999996</v>
      </c>
      <c r="E62" s="64">
        <v>4.5999999999999996</v>
      </c>
      <c r="F62" s="64">
        <v>4.5999999999999996</v>
      </c>
      <c r="G62" s="64">
        <v>4.5999999999999996</v>
      </c>
      <c r="H62" s="64">
        <v>4.5999999999999996</v>
      </c>
      <c r="I62" s="64">
        <v>4.5999999999999996</v>
      </c>
      <c r="J62" s="64">
        <v>4.5999999999999996</v>
      </c>
      <c r="K62" s="64">
        <v>4.5999999999999996</v>
      </c>
      <c r="L62" s="64">
        <v>4.5999999999999996</v>
      </c>
      <c r="M62" s="64">
        <v>4.5999999999999996</v>
      </c>
      <c r="N62" s="64">
        <v>4.5999999999999996</v>
      </c>
      <c r="O62" s="64">
        <v>4.5999999999999996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4.5999999999999996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11.6</v>
      </c>
      <c r="C63" s="64">
        <v>11.6</v>
      </c>
      <c r="D63" s="64">
        <v>11.6</v>
      </c>
      <c r="E63" s="64">
        <v>11.6</v>
      </c>
      <c r="F63" s="64">
        <v>11.6</v>
      </c>
      <c r="G63" s="64">
        <v>11.6</v>
      </c>
      <c r="H63" s="64">
        <v>11.6</v>
      </c>
      <c r="I63" s="64">
        <v>11.6</v>
      </c>
      <c r="J63" s="64">
        <v>11.6</v>
      </c>
      <c r="K63" s="64">
        <v>11.6</v>
      </c>
      <c r="L63" s="64">
        <v>11.6</v>
      </c>
      <c r="M63" s="64">
        <v>11.6</v>
      </c>
      <c r="N63" s="64">
        <v>11.6</v>
      </c>
      <c r="O63" s="64">
        <v>11.6</v>
      </c>
      <c r="P63" s="64">
        <v>11.6</v>
      </c>
      <c r="Q63" s="64">
        <v>11.6</v>
      </c>
      <c r="R63" s="64">
        <v>11.6</v>
      </c>
      <c r="S63" s="64">
        <v>10.199999999999999</v>
      </c>
      <c r="T63" s="64">
        <v>9.3000000000000007</v>
      </c>
      <c r="U63" s="64">
        <v>9.3000000000000007</v>
      </c>
      <c r="V63" s="64">
        <v>9.3000000000000007</v>
      </c>
      <c r="W63" s="64">
        <v>9.3000000000000007</v>
      </c>
      <c r="X63" s="64">
        <v>9.3000000000000007</v>
      </c>
      <c r="Y63" s="64">
        <v>9.3000000000000007</v>
      </c>
      <c r="Z63" s="64">
        <v>11.7</v>
      </c>
      <c r="AA63" s="64">
        <v>11.7</v>
      </c>
      <c r="AB63" s="64">
        <v>11.7</v>
      </c>
      <c r="AC63" s="64">
        <v>11.7</v>
      </c>
      <c r="AD63" s="64">
        <v>11.7</v>
      </c>
      <c r="AE63" s="64">
        <v>11.7</v>
      </c>
      <c r="AF63" s="64">
        <v>11.7</v>
      </c>
      <c r="AG63" s="54">
        <v>14.1</v>
      </c>
      <c r="AH63" s="47">
        <f t="shared" si="2"/>
        <v>11.7</v>
      </c>
      <c r="AI63" s="48">
        <f t="shared" si="3"/>
        <v>9.3000000000000007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9.6</v>
      </c>
      <c r="C64" s="64">
        <v>9.6</v>
      </c>
      <c r="D64" s="64">
        <v>10</v>
      </c>
      <c r="E64" s="64">
        <v>10</v>
      </c>
      <c r="F64" s="64">
        <v>7</v>
      </c>
      <c r="G64" s="64">
        <v>0</v>
      </c>
      <c r="H64" s="64">
        <v>1.5</v>
      </c>
      <c r="I64" s="64">
        <v>7</v>
      </c>
      <c r="J64" s="64">
        <v>10.5</v>
      </c>
      <c r="K64" s="64">
        <v>10</v>
      </c>
      <c r="L64" s="64"/>
      <c r="M64" s="64">
        <v>12.5</v>
      </c>
      <c r="N64" s="64">
        <v>12.5</v>
      </c>
      <c r="O64" s="64">
        <v>12.5</v>
      </c>
      <c r="P64" s="64">
        <v>12.5</v>
      </c>
      <c r="Q64" s="64">
        <v>12.5</v>
      </c>
      <c r="R64" s="64">
        <v>12.5</v>
      </c>
      <c r="S64" s="64">
        <v>12.6</v>
      </c>
      <c r="T64" s="64">
        <v>12.6</v>
      </c>
      <c r="U64" s="64">
        <v>12.6</v>
      </c>
      <c r="V64" s="64">
        <v>12.6</v>
      </c>
      <c r="W64" s="64">
        <v>12.6</v>
      </c>
      <c r="X64" s="64">
        <v>12.6</v>
      </c>
      <c r="Y64" s="64">
        <v>12.6</v>
      </c>
      <c r="Z64" s="64">
        <v>13.6</v>
      </c>
      <c r="AA64" s="64">
        <v>13.6</v>
      </c>
      <c r="AB64" s="64">
        <v>13.6</v>
      </c>
      <c r="AC64" s="64">
        <v>13.6</v>
      </c>
      <c r="AD64" s="64">
        <v>13.6</v>
      </c>
      <c r="AE64" s="64">
        <v>13.6</v>
      </c>
      <c r="AF64" s="64">
        <v>13.6</v>
      </c>
      <c r="AG64" s="54">
        <v>14</v>
      </c>
      <c r="AH64" s="47">
        <f t="shared" si="2"/>
        <v>13.6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6.5</v>
      </c>
      <c r="C65" s="64">
        <v>6.5</v>
      </c>
      <c r="D65" s="64">
        <v>6.5</v>
      </c>
      <c r="E65" s="64">
        <v>6.5</v>
      </c>
      <c r="F65" s="64">
        <v>6.5</v>
      </c>
      <c r="G65" s="64">
        <v>6.5</v>
      </c>
      <c r="H65" s="64">
        <v>6.5</v>
      </c>
      <c r="I65" s="64">
        <v>6.5</v>
      </c>
      <c r="J65" s="64">
        <v>6.5</v>
      </c>
      <c r="K65" s="64">
        <v>6.5</v>
      </c>
      <c r="L65" s="64">
        <v>6.5</v>
      </c>
      <c r="M65" s="64">
        <v>6.5</v>
      </c>
      <c r="N65" s="64">
        <v>6.5</v>
      </c>
      <c r="O65" s="64">
        <v>6.5</v>
      </c>
      <c r="P65" s="64">
        <v>6.5</v>
      </c>
      <c r="Q65" s="64">
        <v>6.5</v>
      </c>
      <c r="R65" s="64">
        <v>6.5</v>
      </c>
      <c r="S65" s="64">
        <v>6.5</v>
      </c>
      <c r="T65" s="64">
        <v>6.5</v>
      </c>
      <c r="U65" s="64">
        <v>6.5</v>
      </c>
      <c r="V65" s="64">
        <v>6.5</v>
      </c>
      <c r="W65" s="64">
        <v>6.5</v>
      </c>
      <c r="X65" s="64">
        <v>6.5</v>
      </c>
      <c r="Y65" s="64">
        <v>6.5</v>
      </c>
      <c r="Z65" s="64">
        <v>6.5</v>
      </c>
      <c r="AA65" s="64">
        <v>6.5</v>
      </c>
      <c r="AB65" s="64">
        <v>6.5</v>
      </c>
      <c r="AC65" s="64">
        <v>6.5</v>
      </c>
      <c r="AD65" s="64">
        <v>6.5</v>
      </c>
      <c r="AE65" s="64">
        <v>6.5</v>
      </c>
      <c r="AF65" s="64">
        <v>6.5</v>
      </c>
      <c r="AG65" s="54">
        <v>10.050000000000001</v>
      </c>
      <c r="AH65" s="47">
        <f t="shared" si="2"/>
        <v>6.5</v>
      </c>
      <c r="AI65" s="48">
        <f t="shared" si="3"/>
        <v>6.5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320.24000000000007</v>
      </c>
      <c r="C68" s="60">
        <f t="shared" si="7"/>
        <v>319.94000000000005</v>
      </c>
      <c r="D68" s="60">
        <f t="shared" si="7"/>
        <v>320.64000000000004</v>
      </c>
      <c r="E68" s="60">
        <f t="shared" si="7"/>
        <v>249.93999999999997</v>
      </c>
      <c r="F68" s="60">
        <f t="shared" si="7"/>
        <v>297.74000000000007</v>
      </c>
      <c r="G68" s="60">
        <f t="shared" si="7"/>
        <v>281.44</v>
      </c>
      <c r="H68" s="60">
        <f t="shared" si="7"/>
        <v>303.34000000000003</v>
      </c>
      <c r="I68" s="60">
        <f t="shared" si="7"/>
        <v>337.74000000000007</v>
      </c>
      <c r="J68" s="60">
        <f t="shared" si="7"/>
        <v>366.44000000000005</v>
      </c>
      <c r="K68" s="60">
        <f t="shared" si="7"/>
        <v>364.24000000000007</v>
      </c>
      <c r="L68" s="60">
        <f t="shared" si="7"/>
        <v>354.24000000000007</v>
      </c>
      <c r="M68" s="60">
        <f t="shared" si="7"/>
        <v>365.84000000000003</v>
      </c>
      <c r="N68" s="60">
        <f t="shared" si="7"/>
        <v>370.14000000000004</v>
      </c>
      <c r="O68" s="60">
        <f t="shared" si="7"/>
        <v>382.24000000000007</v>
      </c>
      <c r="P68" s="60">
        <f t="shared" si="7"/>
        <v>287.24</v>
      </c>
      <c r="Q68" s="60">
        <f t="shared" si="7"/>
        <v>276.84000000000003</v>
      </c>
      <c r="R68" s="60">
        <f t="shared" si="7"/>
        <v>296.74</v>
      </c>
      <c r="S68" s="60">
        <f>SUM(S55:S67)</f>
        <v>289.94</v>
      </c>
      <c r="T68" s="60">
        <f>SUM(T55:T67)</f>
        <v>306.04000000000002</v>
      </c>
      <c r="U68" s="60">
        <f>SUM(U55:U67)</f>
        <v>301.84000000000003</v>
      </c>
      <c r="V68" s="60">
        <f>SUM(V55:V67)</f>
        <v>300.44</v>
      </c>
      <c r="W68" s="60">
        <f t="shared" si="7"/>
        <v>301.84000000000003</v>
      </c>
      <c r="X68" s="60">
        <f t="shared" si="7"/>
        <v>296.24000000000007</v>
      </c>
      <c r="Y68" s="60">
        <f>SUM(Y55:Y67)</f>
        <v>330.54</v>
      </c>
      <c r="Z68" s="60">
        <f>SUM(Z55:Z67)</f>
        <v>348.94</v>
      </c>
      <c r="AA68" s="60">
        <f>SUM(AA55:AA67)</f>
        <v>396.54</v>
      </c>
      <c r="AB68" s="60">
        <f t="shared" si="7"/>
        <v>378.84</v>
      </c>
      <c r="AC68" s="60">
        <f t="shared" si="7"/>
        <v>368.34</v>
      </c>
      <c r="AD68" s="60">
        <f t="shared" si="7"/>
        <v>374.74</v>
      </c>
      <c r="AE68" s="60">
        <f t="shared" si="7"/>
        <v>380.54</v>
      </c>
      <c r="AF68" s="60">
        <f t="shared" si="7"/>
        <v>345.54</v>
      </c>
      <c r="AG68" s="61">
        <f t="shared" si="7"/>
        <v>489.91</v>
      </c>
      <c r="AH68" s="47">
        <f t="shared" si="2"/>
        <v>396.54</v>
      </c>
      <c r="AI68" s="48">
        <f t="shared" si="3"/>
        <v>249.93999999999997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>S69+S70+S71</f>
        <v>0</v>
      </c>
      <c r="T72" s="60">
        <f>T69+T70+T71</f>
        <v>0</v>
      </c>
      <c r="U72" s="60">
        <f>U69+U70+U71</f>
        <v>0</v>
      </c>
      <c r="V72" s="60">
        <f>V69+V70+V71</f>
        <v>0</v>
      </c>
      <c r="W72" s="60">
        <f t="shared" si="8"/>
        <v>0</v>
      </c>
      <c r="X72" s="60">
        <f t="shared" si="8"/>
        <v>0</v>
      </c>
      <c r="Y72" s="60">
        <f>Y69+Y70+Y71</f>
        <v>0</v>
      </c>
      <c r="Z72" s="60">
        <f>Z69+Z70+Z71</f>
        <v>0</v>
      </c>
      <c r="AA72" s="60">
        <f>AA69+AA70+AA71</f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-30</v>
      </c>
      <c r="C73" s="45">
        <v>-33.6</v>
      </c>
      <c r="D73" s="45">
        <v>-37.200000000000003</v>
      </c>
      <c r="E73" s="45">
        <v>-45.3</v>
      </c>
      <c r="F73" s="45">
        <v>-35</v>
      </c>
      <c r="G73" s="45">
        <v>-28</v>
      </c>
      <c r="H73" s="45">
        <v>-26</v>
      </c>
      <c r="I73" s="45">
        <v>-28.7</v>
      </c>
      <c r="J73" s="45">
        <v>-36</v>
      </c>
      <c r="K73" s="45">
        <v>-41</v>
      </c>
      <c r="L73" s="45">
        <v>-28</v>
      </c>
      <c r="M73" s="45">
        <v>-13.3</v>
      </c>
      <c r="N73" s="45">
        <v>-24</v>
      </c>
      <c r="O73" s="45">
        <v>-29.3</v>
      </c>
      <c r="P73" s="45">
        <v>-21.2</v>
      </c>
      <c r="Q73" s="45">
        <v>12</v>
      </c>
      <c r="R73" s="45">
        <v>-11</v>
      </c>
      <c r="S73" s="45">
        <v>-9</v>
      </c>
      <c r="T73" s="45">
        <v>-2.4</v>
      </c>
      <c r="U73" s="45">
        <v>10.6</v>
      </c>
      <c r="V73" s="45">
        <v>10.6</v>
      </c>
      <c r="W73" s="45">
        <v>0</v>
      </c>
      <c r="X73" s="45">
        <v>26</v>
      </c>
      <c r="Y73" s="45">
        <v>-9.6999999999999993</v>
      </c>
      <c r="Z73" s="45">
        <v>-10.4</v>
      </c>
      <c r="AA73" s="45">
        <v>0</v>
      </c>
      <c r="AB73" s="45">
        <v>4.8</v>
      </c>
      <c r="AC73" s="45">
        <v>-3.7</v>
      </c>
      <c r="AD73" s="45">
        <v>6</v>
      </c>
      <c r="AE73" s="45">
        <v>-28.2</v>
      </c>
      <c r="AF73" s="45">
        <v>7.1</v>
      </c>
      <c r="AG73" s="51"/>
      <c r="AH73" s="47">
        <f t="shared" si="2"/>
        <v>26</v>
      </c>
      <c r="AI73" s="48">
        <f t="shared" si="3"/>
        <v>-45.3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-441</v>
      </c>
      <c r="C75" s="64">
        <v>-476</v>
      </c>
      <c r="D75" s="64">
        <v>-482</v>
      </c>
      <c r="E75" s="64">
        <v>-463.1</v>
      </c>
      <c r="F75" s="64">
        <v>-483.8</v>
      </c>
      <c r="G75" s="64">
        <v>-518</v>
      </c>
      <c r="H75" s="64">
        <v>-522</v>
      </c>
      <c r="I75" s="64">
        <v>-542</v>
      </c>
      <c r="J75" s="64">
        <v>-512</v>
      </c>
      <c r="K75" s="64">
        <v>-506</v>
      </c>
      <c r="L75" s="64">
        <v>-510</v>
      </c>
      <c r="M75" s="64">
        <v>-489.8</v>
      </c>
      <c r="N75" s="64">
        <v>-480</v>
      </c>
      <c r="O75" s="64">
        <v>-530</v>
      </c>
      <c r="P75" s="64">
        <v>-510.4</v>
      </c>
      <c r="Q75" s="64">
        <v>-493.2</v>
      </c>
      <c r="R75" s="64">
        <v>-502.5</v>
      </c>
      <c r="S75" s="64">
        <v>-483.2</v>
      </c>
      <c r="T75" s="64">
        <v>-457.3</v>
      </c>
      <c r="U75" s="64">
        <v>-509.5</v>
      </c>
      <c r="V75" s="64">
        <v>-509.5</v>
      </c>
      <c r="W75" s="64">
        <v>-500</v>
      </c>
      <c r="X75" s="64">
        <v>-500</v>
      </c>
      <c r="Y75" s="64">
        <v>-457.9</v>
      </c>
      <c r="Z75" s="64">
        <v>-361.3</v>
      </c>
      <c r="AA75" s="64">
        <v>-423.6</v>
      </c>
      <c r="AB75" s="64">
        <v>-444.2</v>
      </c>
      <c r="AC75" s="64">
        <v>-443</v>
      </c>
      <c r="AD75" s="64">
        <v>-451</v>
      </c>
      <c r="AE75" s="64">
        <v>-447</v>
      </c>
      <c r="AF75" s="64">
        <v>-450</v>
      </c>
      <c r="AG75" s="74"/>
      <c r="AH75" s="47">
        <f t="shared" si="2"/>
        <v>-361.3</v>
      </c>
      <c r="AI75" s="48">
        <f t="shared" si="3"/>
        <v>-542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12</v>
      </c>
      <c r="AC80" s="76">
        <v>12</v>
      </c>
      <c r="AD80" s="76">
        <v>12</v>
      </c>
      <c r="AE80" s="76">
        <v>12</v>
      </c>
      <c r="AF80" s="76">
        <v>12</v>
      </c>
      <c r="AG80" s="74"/>
      <c r="AH80" s="47">
        <f t="shared" si="9"/>
        <v>12</v>
      </c>
      <c r="AI80" s="48">
        <f t="shared" si="10"/>
        <v>12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1">SUMIF(B73:B83,"&gt;0")</f>
        <v>0</v>
      </c>
      <c r="C84" s="60">
        <f t="shared" si="11"/>
        <v>0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12</v>
      </c>
      <c r="R84" s="60">
        <f t="shared" si="11"/>
        <v>0</v>
      </c>
      <c r="S84" s="60">
        <f>SUMIF(S73:S83,"&gt;0")</f>
        <v>0</v>
      </c>
      <c r="T84" s="60">
        <f>SUMIF(T73:T83,"&gt;0")</f>
        <v>0</v>
      </c>
      <c r="U84" s="60">
        <f>SUMIF(U73:U83,"&gt;0")</f>
        <v>10.6</v>
      </c>
      <c r="V84" s="60">
        <f>SUMIF(V73:V83,"&gt;0")</f>
        <v>10.6</v>
      </c>
      <c r="W84" s="60">
        <f t="shared" si="11"/>
        <v>0</v>
      </c>
      <c r="X84" s="60">
        <f t="shared" si="11"/>
        <v>26</v>
      </c>
      <c r="Y84" s="60">
        <f>SUMIF(Y73:Y83,"&gt;0")</f>
        <v>0</v>
      </c>
      <c r="Z84" s="60">
        <f>SUMIF(Z73:Z83,"&gt;0")</f>
        <v>0</v>
      </c>
      <c r="AA84" s="60">
        <f>SUMIF(AA73:AA83,"&gt;0")</f>
        <v>0</v>
      </c>
      <c r="AB84" s="60">
        <f t="shared" si="11"/>
        <v>16.8</v>
      </c>
      <c r="AC84" s="60">
        <f t="shared" si="11"/>
        <v>12</v>
      </c>
      <c r="AD84" s="60">
        <f t="shared" si="11"/>
        <v>18</v>
      </c>
      <c r="AE84" s="60">
        <f t="shared" si="11"/>
        <v>12</v>
      </c>
      <c r="AF84" s="60">
        <f t="shared" si="11"/>
        <v>19.100000000000001</v>
      </c>
      <c r="AG84" s="87">
        <f>SUM(AG73:AG83)</f>
        <v>0</v>
      </c>
      <c r="AH84" s="47">
        <f t="shared" si="9"/>
        <v>26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>
        <v>0</v>
      </c>
      <c r="Z88" s="60">
        <v>0</v>
      </c>
      <c r="AA88" s="60">
        <v>0</v>
      </c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1884.74</v>
      </c>
      <c r="C89" s="94">
        <f t="shared" si="12"/>
        <v>1884.44</v>
      </c>
      <c r="D89" s="94">
        <f t="shared" si="12"/>
        <v>1880.14</v>
      </c>
      <c r="E89" s="94">
        <f t="shared" si="12"/>
        <v>1809.44</v>
      </c>
      <c r="F89" s="94">
        <f t="shared" si="12"/>
        <v>1845.44</v>
      </c>
      <c r="G89" s="94">
        <f t="shared" si="12"/>
        <v>1824.3400000000001</v>
      </c>
      <c r="H89" s="94">
        <f t="shared" si="12"/>
        <v>1806.2400000000002</v>
      </c>
      <c r="I89" s="94">
        <f t="shared" si="12"/>
        <v>1840.64</v>
      </c>
      <c r="J89" s="94">
        <f t="shared" si="12"/>
        <v>1869.3400000000001</v>
      </c>
      <c r="K89" s="94">
        <f t="shared" si="12"/>
        <v>1876.14</v>
      </c>
      <c r="L89" s="94">
        <f t="shared" si="12"/>
        <v>1866.14</v>
      </c>
      <c r="M89" s="94">
        <f t="shared" si="12"/>
        <v>1844.1399999999999</v>
      </c>
      <c r="N89" s="94">
        <f t="shared" si="12"/>
        <v>1883.04</v>
      </c>
      <c r="O89" s="94">
        <f t="shared" si="12"/>
        <v>1891.74</v>
      </c>
      <c r="P89" s="94">
        <f t="shared" si="12"/>
        <v>1805.34</v>
      </c>
      <c r="Q89" s="94">
        <f t="shared" si="12"/>
        <v>1762.1399999999999</v>
      </c>
      <c r="R89" s="94">
        <f t="shared" si="12"/>
        <v>1770.04</v>
      </c>
      <c r="S89" s="94">
        <f>S50+S54+S72+S68+S84+S88</f>
        <v>1763.24</v>
      </c>
      <c r="T89" s="94">
        <f>T50+T54+T72+T68+T84+T88</f>
        <v>1779.34</v>
      </c>
      <c r="U89" s="94">
        <f>U50+U54+U72+U68+U84+U88</f>
        <v>1785.7399999999998</v>
      </c>
      <c r="V89" s="94">
        <f>V50+V54+V72+V68+V84+V88</f>
        <v>1784.34</v>
      </c>
      <c r="W89" s="94">
        <f t="shared" si="12"/>
        <v>1775.1399999999999</v>
      </c>
      <c r="X89" s="94">
        <f t="shared" si="12"/>
        <v>1795.54</v>
      </c>
      <c r="Y89" s="94">
        <f>Y50+Y54+Y72+Y68+Y84+Y88</f>
        <v>1824.84</v>
      </c>
      <c r="Z89" s="94">
        <f>Z50+Z54+Z72+Z68+Z84+Z88</f>
        <v>1916.84</v>
      </c>
      <c r="AA89" s="94">
        <f>AA50+AA54+AA72+AA68+AA84+AA88</f>
        <v>1948.84</v>
      </c>
      <c r="AB89" s="94">
        <f t="shared" si="12"/>
        <v>1969.5399999999997</v>
      </c>
      <c r="AC89" s="94">
        <f t="shared" si="12"/>
        <v>1963.2399999999998</v>
      </c>
      <c r="AD89" s="94">
        <f t="shared" si="12"/>
        <v>1940.6399999999999</v>
      </c>
      <c r="AE89" s="94">
        <f t="shared" si="12"/>
        <v>1893.4399999999998</v>
      </c>
      <c r="AF89" s="94">
        <f t="shared" si="12"/>
        <v>1856.5399999999997</v>
      </c>
      <c r="AG89" s="61">
        <f t="shared" si="12"/>
        <v>2111.5500000000002</v>
      </c>
      <c r="AH89" s="47">
        <f t="shared" si="9"/>
        <v>1969.5399999999997</v>
      </c>
      <c r="AI89" s="48">
        <f t="shared" si="10"/>
        <v>1762.1399999999999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 t="shared" ref="B91:AF91" si="13">B89+B90</f>
        <v>1884.74</v>
      </c>
      <c r="C91" s="94">
        <f t="shared" si="13"/>
        <v>1884.44</v>
      </c>
      <c r="D91" s="94">
        <f t="shared" si="13"/>
        <v>1880.14</v>
      </c>
      <c r="E91" s="94">
        <f t="shared" si="13"/>
        <v>1809.44</v>
      </c>
      <c r="F91" s="94">
        <f t="shared" si="13"/>
        <v>1845.44</v>
      </c>
      <c r="G91" s="94">
        <f t="shared" si="13"/>
        <v>1824.3400000000001</v>
      </c>
      <c r="H91" s="94">
        <f t="shared" si="13"/>
        <v>1806.2400000000002</v>
      </c>
      <c r="I91" s="94">
        <f t="shared" si="13"/>
        <v>1840.64</v>
      </c>
      <c r="J91" s="94">
        <f t="shared" si="13"/>
        <v>1869.3400000000001</v>
      </c>
      <c r="K91" s="94">
        <f t="shared" si="13"/>
        <v>1876.14</v>
      </c>
      <c r="L91" s="94">
        <f t="shared" si="13"/>
        <v>1866.14</v>
      </c>
      <c r="M91" s="94">
        <f t="shared" si="13"/>
        <v>1844.1399999999999</v>
      </c>
      <c r="N91" s="94">
        <f t="shared" si="13"/>
        <v>1883.04</v>
      </c>
      <c r="O91" s="94">
        <f t="shared" si="13"/>
        <v>1891.74</v>
      </c>
      <c r="P91" s="94">
        <f t="shared" si="13"/>
        <v>1805.34</v>
      </c>
      <c r="Q91" s="94">
        <f t="shared" si="13"/>
        <v>1762.1399999999999</v>
      </c>
      <c r="R91" s="94">
        <f t="shared" si="13"/>
        <v>1770.04</v>
      </c>
      <c r="S91" s="94">
        <f>S89+S90</f>
        <v>1763.24</v>
      </c>
      <c r="T91" s="94">
        <f>T89+T90</f>
        <v>1779.34</v>
      </c>
      <c r="U91" s="94">
        <f>U89+U90</f>
        <v>1785.7399999999998</v>
      </c>
      <c r="V91" s="94">
        <f>V89+V90</f>
        <v>1784.34</v>
      </c>
      <c r="W91" s="94">
        <f t="shared" si="13"/>
        <v>1775.1399999999999</v>
      </c>
      <c r="X91" s="94">
        <f t="shared" si="13"/>
        <v>1795.54</v>
      </c>
      <c r="Y91" s="94">
        <f>Y89+Y90</f>
        <v>1824.84</v>
      </c>
      <c r="Z91" s="94">
        <f>Z89+Z90</f>
        <v>1916.84</v>
      </c>
      <c r="AA91" s="94">
        <f>AA89+AA90</f>
        <v>1948.84</v>
      </c>
      <c r="AB91" s="94">
        <f t="shared" si="13"/>
        <v>1969.5399999999997</v>
      </c>
      <c r="AC91" s="94">
        <f t="shared" si="13"/>
        <v>1963.2399999999998</v>
      </c>
      <c r="AD91" s="94">
        <f t="shared" si="13"/>
        <v>1940.6399999999999</v>
      </c>
      <c r="AE91" s="94">
        <f t="shared" si="13"/>
        <v>1893.4399999999998</v>
      </c>
      <c r="AF91" s="94">
        <f t="shared" si="13"/>
        <v>1856.5399999999997</v>
      </c>
      <c r="AG91" s="87">
        <f>AG88+AG84+AG72+AG68+AG50+AG90</f>
        <v>1573.45</v>
      </c>
      <c r="AH91" s="47">
        <f t="shared" si="9"/>
        <v>1969.5399999999997</v>
      </c>
      <c r="AI91" s="48">
        <f t="shared" si="10"/>
        <v>1762.1399999999999</v>
      </c>
    </row>
    <row r="92" spans="1:40" ht="15.75" thickBot="1" x14ac:dyDescent="0.3">
      <c r="A92" s="73" t="s">
        <v>103</v>
      </c>
      <c r="B92" s="94">
        <f t="shared" ref="B92:AF92" si="14">B91-B99</f>
        <v>2325.7399999999998</v>
      </c>
      <c r="C92" s="94">
        <f t="shared" si="14"/>
        <v>2360.44</v>
      </c>
      <c r="D92" s="94">
        <f t="shared" si="14"/>
        <v>2362.1400000000003</v>
      </c>
      <c r="E92" s="94">
        <f t="shared" si="14"/>
        <v>2272.54</v>
      </c>
      <c r="F92" s="94">
        <f t="shared" si="14"/>
        <v>2329.2400000000002</v>
      </c>
      <c r="G92" s="94">
        <f t="shared" si="14"/>
        <v>2342.34</v>
      </c>
      <c r="H92" s="94">
        <f t="shared" si="14"/>
        <v>2328.2400000000002</v>
      </c>
      <c r="I92" s="94">
        <f t="shared" si="14"/>
        <v>2382.6400000000003</v>
      </c>
      <c r="J92" s="94">
        <f t="shared" si="14"/>
        <v>2381.34</v>
      </c>
      <c r="K92" s="94">
        <f t="shared" si="14"/>
        <v>2382.1400000000003</v>
      </c>
      <c r="L92" s="94">
        <f t="shared" si="14"/>
        <v>2376.1400000000003</v>
      </c>
      <c r="M92" s="94">
        <f t="shared" si="14"/>
        <v>2333.94</v>
      </c>
      <c r="N92" s="94">
        <f t="shared" si="14"/>
        <v>2363.04</v>
      </c>
      <c r="O92" s="94">
        <f t="shared" si="14"/>
        <v>2421.7399999999998</v>
      </c>
      <c r="P92" s="94">
        <f t="shared" si="14"/>
        <v>2315.7399999999998</v>
      </c>
      <c r="Q92" s="94">
        <f t="shared" si="14"/>
        <v>2255.3399999999997</v>
      </c>
      <c r="R92" s="94">
        <f t="shared" si="14"/>
        <v>2272.54</v>
      </c>
      <c r="S92" s="94">
        <f>S91-S99</f>
        <v>2246.44</v>
      </c>
      <c r="T92" s="94">
        <f>T91-T99</f>
        <v>2236.64</v>
      </c>
      <c r="U92" s="94">
        <f>U91-U99</f>
        <v>2295.2399999999998</v>
      </c>
      <c r="V92" s="94">
        <f>V91-V99</f>
        <v>2293.84</v>
      </c>
      <c r="W92" s="94">
        <f t="shared" si="14"/>
        <v>2275.14</v>
      </c>
      <c r="X92" s="94">
        <f t="shared" si="14"/>
        <v>2295.54</v>
      </c>
      <c r="Y92" s="94">
        <f>Y91-Y99</f>
        <v>2282.7399999999998</v>
      </c>
      <c r="Z92" s="94">
        <f>Z91-Z99</f>
        <v>2278.14</v>
      </c>
      <c r="AA92" s="94">
        <f>AA91-AA99</f>
        <v>2372.44</v>
      </c>
      <c r="AB92" s="94">
        <f t="shared" si="14"/>
        <v>2413.7399999999998</v>
      </c>
      <c r="AC92" s="94">
        <f t="shared" si="14"/>
        <v>2406.2399999999998</v>
      </c>
      <c r="AD92" s="94">
        <f t="shared" si="14"/>
        <v>2391.64</v>
      </c>
      <c r="AE92" s="94">
        <f t="shared" si="14"/>
        <v>2340.4399999999996</v>
      </c>
      <c r="AF92" s="94">
        <f t="shared" si="14"/>
        <v>2306.54</v>
      </c>
      <c r="AG92" s="87"/>
      <c r="AH92" s="47">
        <f t="shared" si="9"/>
        <v>2421.7399999999998</v>
      </c>
      <c r="AI92" s="48">
        <f t="shared" si="10"/>
        <v>2236.64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-441</v>
      </c>
      <c r="C99" s="60">
        <f t="shared" ref="C99:AF99" si="15">C75</f>
        <v>-476</v>
      </c>
      <c r="D99" s="60">
        <f t="shared" si="15"/>
        <v>-482</v>
      </c>
      <c r="E99" s="60">
        <f t="shared" si="15"/>
        <v>-463.1</v>
      </c>
      <c r="F99" s="60">
        <f t="shared" si="15"/>
        <v>-483.8</v>
      </c>
      <c r="G99" s="60">
        <f t="shared" si="15"/>
        <v>-518</v>
      </c>
      <c r="H99" s="60">
        <f t="shared" si="15"/>
        <v>-522</v>
      </c>
      <c r="I99" s="60">
        <f t="shared" si="15"/>
        <v>-542</v>
      </c>
      <c r="J99" s="60">
        <f t="shared" si="15"/>
        <v>-512</v>
      </c>
      <c r="K99" s="60">
        <f t="shared" si="15"/>
        <v>-506</v>
      </c>
      <c r="L99" s="60">
        <f t="shared" si="15"/>
        <v>-510</v>
      </c>
      <c r="M99" s="60">
        <f t="shared" si="15"/>
        <v>-489.8</v>
      </c>
      <c r="N99" s="60">
        <f t="shared" si="15"/>
        <v>-480</v>
      </c>
      <c r="O99" s="60">
        <f t="shared" si="15"/>
        <v>-530</v>
      </c>
      <c r="P99" s="60">
        <f t="shared" si="15"/>
        <v>-510.4</v>
      </c>
      <c r="Q99" s="60">
        <f t="shared" si="15"/>
        <v>-493.2</v>
      </c>
      <c r="R99" s="60">
        <f t="shared" si="15"/>
        <v>-502.5</v>
      </c>
      <c r="S99" s="60">
        <f>S75</f>
        <v>-483.2</v>
      </c>
      <c r="T99" s="60">
        <f>T75</f>
        <v>-457.3</v>
      </c>
      <c r="U99" s="60">
        <f>U75</f>
        <v>-509.5</v>
      </c>
      <c r="V99" s="60">
        <f>V75</f>
        <v>-509.5</v>
      </c>
      <c r="W99" s="60">
        <f t="shared" si="15"/>
        <v>-500</v>
      </c>
      <c r="X99" s="60">
        <f t="shared" si="15"/>
        <v>-500</v>
      </c>
      <c r="Y99" s="60">
        <f>Y75</f>
        <v>-457.9</v>
      </c>
      <c r="Z99" s="60">
        <f>Z75</f>
        <v>-361.3</v>
      </c>
      <c r="AA99" s="60">
        <f>AA75</f>
        <v>-423.6</v>
      </c>
      <c r="AB99" s="60">
        <f t="shared" si="15"/>
        <v>-444.2</v>
      </c>
      <c r="AC99" s="60">
        <f t="shared" si="15"/>
        <v>-443</v>
      </c>
      <c r="AD99" s="60">
        <f t="shared" si="15"/>
        <v>-451</v>
      </c>
      <c r="AE99" s="60">
        <f t="shared" si="15"/>
        <v>-447</v>
      </c>
      <c r="AF99" s="60">
        <f t="shared" si="15"/>
        <v>-450</v>
      </c>
      <c r="AG99" s="87"/>
      <c r="AH99" s="47">
        <f t="shared" si="9"/>
        <v>-361.3</v>
      </c>
      <c r="AI99" s="48">
        <f t="shared" si="10"/>
        <v>-542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441</v>
      </c>
      <c r="C100" s="60">
        <f t="shared" si="16"/>
        <v>476</v>
      </c>
      <c r="D100" s="60">
        <f t="shared" si="16"/>
        <v>482</v>
      </c>
      <c r="E100" s="60">
        <f t="shared" si="16"/>
        <v>463.1</v>
      </c>
      <c r="F100" s="60">
        <f t="shared" si="16"/>
        <v>483.8</v>
      </c>
      <c r="G100" s="60">
        <f t="shared" si="16"/>
        <v>518</v>
      </c>
      <c r="H100" s="60">
        <f t="shared" si="16"/>
        <v>522</v>
      </c>
      <c r="I100" s="60">
        <f t="shared" si="16"/>
        <v>542</v>
      </c>
      <c r="J100" s="60">
        <f t="shared" si="16"/>
        <v>512</v>
      </c>
      <c r="K100" s="60">
        <f t="shared" si="16"/>
        <v>506</v>
      </c>
      <c r="L100" s="60">
        <f t="shared" si="16"/>
        <v>510</v>
      </c>
      <c r="M100" s="60">
        <f t="shared" si="16"/>
        <v>489.8</v>
      </c>
      <c r="N100" s="60">
        <f t="shared" si="16"/>
        <v>480</v>
      </c>
      <c r="O100" s="60">
        <f t="shared" si="16"/>
        <v>530</v>
      </c>
      <c r="P100" s="60">
        <f t="shared" si="16"/>
        <v>510.4</v>
      </c>
      <c r="Q100" s="60">
        <f t="shared" si="16"/>
        <v>505.2</v>
      </c>
      <c r="R100" s="60">
        <f t="shared" si="16"/>
        <v>502.5</v>
      </c>
      <c r="S100" s="60">
        <f>S84-S99</f>
        <v>483.2</v>
      </c>
      <c r="T100" s="60">
        <f>T84-T99</f>
        <v>457.3</v>
      </c>
      <c r="U100" s="60">
        <f>U84-U99</f>
        <v>520.1</v>
      </c>
      <c r="V100" s="60">
        <f>V84-V99</f>
        <v>520.1</v>
      </c>
      <c r="W100" s="60">
        <f t="shared" si="16"/>
        <v>500</v>
      </c>
      <c r="X100" s="60">
        <f t="shared" si="16"/>
        <v>526</v>
      </c>
      <c r="Y100" s="60">
        <f>Y84-Y99</f>
        <v>457.9</v>
      </c>
      <c r="Z100" s="60">
        <f>Z84-Z99</f>
        <v>361.3</v>
      </c>
      <c r="AA100" s="60">
        <f>AA84-AA99</f>
        <v>423.6</v>
      </c>
      <c r="AB100" s="60">
        <f t="shared" si="16"/>
        <v>461</v>
      </c>
      <c r="AC100" s="60">
        <f t="shared" si="16"/>
        <v>455</v>
      </c>
      <c r="AD100" s="60">
        <f t="shared" si="16"/>
        <v>469</v>
      </c>
      <c r="AE100" s="60">
        <f t="shared" si="16"/>
        <v>459</v>
      </c>
      <c r="AF100" s="60">
        <f t="shared" si="16"/>
        <v>469.1</v>
      </c>
      <c r="AG100" s="87"/>
      <c r="AH100" s="47">
        <f t="shared" si="9"/>
        <v>542</v>
      </c>
      <c r="AI100" s="48">
        <f t="shared" si="10"/>
        <v>361.3</v>
      </c>
    </row>
    <row r="101" spans="1:37" x14ac:dyDescent="0.25">
      <c r="A101" s="99" t="s">
        <v>109</v>
      </c>
      <c r="B101" s="100">
        <v>49.96</v>
      </c>
      <c r="C101" s="100">
        <v>50.003999999999998</v>
      </c>
      <c r="D101" s="100">
        <v>50.01</v>
      </c>
      <c r="E101" s="100">
        <v>49.956000000000003</v>
      </c>
      <c r="F101" s="100">
        <v>49.959000000000003</v>
      </c>
      <c r="G101" s="100">
        <v>49.947000000000003</v>
      </c>
      <c r="H101" s="100">
        <v>49.85</v>
      </c>
      <c r="I101" s="100">
        <v>49.927999999999997</v>
      </c>
      <c r="J101" s="100">
        <v>50.65</v>
      </c>
      <c r="K101" s="100">
        <v>50.06</v>
      </c>
      <c r="L101" s="100">
        <v>50</v>
      </c>
      <c r="M101" s="100">
        <v>50.055999999999997</v>
      </c>
      <c r="N101" s="100">
        <v>50.03</v>
      </c>
      <c r="O101" s="100">
        <v>49.98</v>
      </c>
      <c r="P101" s="100">
        <v>49.860999999999997</v>
      </c>
      <c r="Q101" s="100">
        <v>49.997999999999998</v>
      </c>
      <c r="R101" s="100">
        <v>49.96</v>
      </c>
      <c r="S101" s="100">
        <v>50.027000000000001</v>
      </c>
      <c r="T101" s="100">
        <v>49.94</v>
      </c>
      <c r="U101" s="100">
        <v>49.97</v>
      </c>
      <c r="V101" s="100">
        <v>50.015000000000001</v>
      </c>
      <c r="W101" s="100">
        <v>50.094999999999999</v>
      </c>
      <c r="X101" s="100">
        <v>50.04</v>
      </c>
      <c r="Y101" s="100">
        <v>50.08</v>
      </c>
      <c r="Z101" s="100">
        <v>50.048000000000002</v>
      </c>
      <c r="AA101" s="100">
        <v>49.926000000000002</v>
      </c>
      <c r="AB101" s="100">
        <v>50.042999999999999</v>
      </c>
      <c r="AC101" s="100">
        <v>50.002000000000002</v>
      </c>
      <c r="AD101" s="100">
        <v>49.981000000000002</v>
      </c>
      <c r="AE101" s="100">
        <v>50.058999999999997</v>
      </c>
      <c r="AF101" s="100">
        <v>50.036999999999999</v>
      </c>
      <c r="AG101" s="101"/>
      <c r="AH101" s="47">
        <f t="shared" si="9"/>
        <v>50.65</v>
      </c>
      <c r="AI101" s="48">
        <f t="shared" si="10"/>
        <v>49.85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130.9</v>
      </c>
      <c r="C103" s="64">
        <v>132</v>
      </c>
      <c r="D103" s="64">
        <v>131.4</v>
      </c>
      <c r="E103" s="64">
        <v>130.19999999999999</v>
      </c>
      <c r="F103" s="64">
        <v>130.19999999999999</v>
      </c>
      <c r="G103" s="64">
        <v>130.19999999999999</v>
      </c>
      <c r="H103" s="64">
        <v>131</v>
      </c>
      <c r="I103" s="64">
        <v>130</v>
      </c>
      <c r="J103" s="64">
        <v>128.80000000000001</v>
      </c>
      <c r="K103" s="64">
        <v>128.80000000000001</v>
      </c>
      <c r="L103" s="64">
        <v>128.80000000000001</v>
      </c>
      <c r="M103" s="64">
        <v>126.8</v>
      </c>
      <c r="N103" s="64">
        <v>125.9</v>
      </c>
      <c r="O103" s="64">
        <v>129.9</v>
      </c>
      <c r="P103" s="64">
        <v>130</v>
      </c>
      <c r="Q103" s="64">
        <v>129.69999999999999</v>
      </c>
      <c r="R103" s="64">
        <v>129.69999999999999</v>
      </c>
      <c r="S103" s="64">
        <v>129.19999999999999</v>
      </c>
      <c r="T103" s="64">
        <v>129.4</v>
      </c>
      <c r="U103" s="64">
        <v>130.30000000000001</v>
      </c>
      <c r="V103" s="64">
        <v>130.19999999999999</v>
      </c>
      <c r="W103" s="64">
        <v>129.6</v>
      </c>
      <c r="X103" s="64">
        <v>128</v>
      </c>
      <c r="Y103" s="64">
        <v>127.5</v>
      </c>
      <c r="Z103" s="64">
        <v>126.9</v>
      </c>
      <c r="AA103" s="64">
        <v>129.1</v>
      </c>
      <c r="AB103" s="64">
        <v>129</v>
      </c>
      <c r="AC103" s="64">
        <v>128.80000000000001</v>
      </c>
      <c r="AD103" s="64">
        <v>129.80000000000001</v>
      </c>
      <c r="AE103" s="64">
        <v>131.19999999999999</v>
      </c>
      <c r="AF103" s="64">
        <v>130.9</v>
      </c>
      <c r="AG103" s="103"/>
      <c r="AH103" s="47">
        <f t="shared" si="9"/>
        <v>132</v>
      </c>
      <c r="AI103" s="48">
        <f t="shared" si="10"/>
        <v>125.9</v>
      </c>
    </row>
    <row r="104" spans="1:37" x14ac:dyDescent="0.25">
      <c r="A104" s="102" t="s">
        <v>112</v>
      </c>
      <c r="B104" s="64">
        <v>129</v>
      </c>
      <c r="C104" s="64">
        <v>131.19999999999999</v>
      </c>
      <c r="D104" s="64">
        <v>130</v>
      </c>
      <c r="E104" s="64">
        <v>128.1</v>
      </c>
      <c r="F104" s="64">
        <v>128.1</v>
      </c>
      <c r="G104" s="64">
        <v>128.1</v>
      </c>
      <c r="H104" s="64">
        <v>128.1</v>
      </c>
      <c r="I104" s="64">
        <v>130</v>
      </c>
      <c r="J104" s="64">
        <v>130</v>
      </c>
      <c r="K104" s="64">
        <v>130</v>
      </c>
      <c r="L104" s="64">
        <v>130</v>
      </c>
      <c r="M104" s="64">
        <v>129.69999999999999</v>
      </c>
      <c r="N104" s="64">
        <v>128.5</v>
      </c>
      <c r="O104" s="64">
        <v>128</v>
      </c>
      <c r="P104" s="64">
        <v>128.19999999999999</v>
      </c>
      <c r="Q104" s="64">
        <v>128.80000000000001</v>
      </c>
      <c r="R104" s="64">
        <v>128.19999999999999</v>
      </c>
      <c r="S104" s="64">
        <v>131.5</v>
      </c>
      <c r="T104" s="64">
        <v>128.69999999999999</v>
      </c>
      <c r="U104" s="64">
        <v>130.30000000000001</v>
      </c>
      <c r="V104" s="64">
        <v>128.30000000000001</v>
      </c>
      <c r="W104" s="64">
        <v>129.19999999999999</v>
      </c>
      <c r="X104" s="64">
        <v>130</v>
      </c>
      <c r="Y104" s="64">
        <v>128.5</v>
      </c>
      <c r="Z104" s="64">
        <v>127.9</v>
      </c>
      <c r="AA104" s="64">
        <v>129.4</v>
      </c>
      <c r="AB104" s="64">
        <v>130</v>
      </c>
      <c r="AC104" s="64">
        <v>129.69999999999999</v>
      </c>
      <c r="AD104" s="64">
        <v>129.30000000000001</v>
      </c>
      <c r="AE104" s="64">
        <v>130.30000000000001</v>
      </c>
      <c r="AF104" s="64">
        <v>127.7</v>
      </c>
      <c r="AG104" s="103"/>
      <c r="AH104" s="47">
        <f t="shared" si="9"/>
        <v>131.5</v>
      </c>
      <c r="AI104" s="48">
        <f t="shared" si="10"/>
        <v>127.7</v>
      </c>
    </row>
    <row r="105" spans="1:37" x14ac:dyDescent="0.25">
      <c r="A105" s="104" t="s">
        <v>113</v>
      </c>
      <c r="B105" s="64">
        <v>131.6</v>
      </c>
      <c r="C105" s="64">
        <v>133.69999999999999</v>
      </c>
      <c r="D105" s="64">
        <v>132.9</v>
      </c>
      <c r="E105" s="64">
        <v>131.6</v>
      </c>
      <c r="F105" s="64">
        <v>131.6</v>
      </c>
      <c r="G105" s="64">
        <v>131.6</v>
      </c>
      <c r="H105" s="64">
        <v>131.6</v>
      </c>
      <c r="I105" s="64">
        <v>133</v>
      </c>
      <c r="J105" s="64">
        <v>133</v>
      </c>
      <c r="K105" s="64">
        <v>133</v>
      </c>
      <c r="L105" s="64">
        <v>133</v>
      </c>
      <c r="M105" s="64">
        <v>132.80000000000001</v>
      </c>
      <c r="N105" s="64">
        <v>131.30000000000001</v>
      </c>
      <c r="O105" s="64">
        <v>131</v>
      </c>
      <c r="P105" s="64">
        <v>131</v>
      </c>
      <c r="Q105" s="64">
        <v>131.5</v>
      </c>
      <c r="R105" s="64">
        <v>130.6</v>
      </c>
      <c r="S105" s="64">
        <v>133.19999999999999</v>
      </c>
      <c r="T105" s="64">
        <v>130.9</v>
      </c>
      <c r="U105" s="64">
        <v>133.69999999999999</v>
      </c>
      <c r="V105" s="64">
        <v>129.30000000000001</v>
      </c>
      <c r="W105" s="64">
        <v>130.1</v>
      </c>
      <c r="X105" s="64">
        <v>130</v>
      </c>
      <c r="Y105" s="64">
        <v>126.9</v>
      </c>
      <c r="Z105" s="64">
        <v>128.4</v>
      </c>
      <c r="AA105" s="64">
        <v>131.19999999999999</v>
      </c>
      <c r="AB105" s="64">
        <v>133</v>
      </c>
      <c r="AC105" s="64">
        <v>132.5</v>
      </c>
      <c r="AD105" s="64">
        <v>133</v>
      </c>
      <c r="AE105" s="64">
        <v>134.19999999999999</v>
      </c>
      <c r="AF105" s="64">
        <v>132.4</v>
      </c>
      <c r="AG105" s="103"/>
      <c r="AH105" s="47">
        <f t="shared" si="9"/>
        <v>134.19999999999999</v>
      </c>
      <c r="AI105" s="48">
        <f t="shared" si="10"/>
        <v>126.9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>
        <v>131.19999999999999</v>
      </c>
      <c r="AA106" s="105">
        <v>135.80000000000001</v>
      </c>
      <c r="AB106" s="105">
        <v>134.6</v>
      </c>
      <c r="AC106" s="105">
        <v>132.19999999999999</v>
      </c>
      <c r="AD106" s="105">
        <v>132.4</v>
      </c>
      <c r="AE106" s="105">
        <v>133.1</v>
      </c>
      <c r="AF106" s="105">
        <v>134.4</v>
      </c>
      <c r="AG106" s="106"/>
      <c r="AH106" s="47">
        <f t="shared" si="9"/>
        <v>135.80000000000001</v>
      </c>
      <c r="AI106" s="48">
        <f t="shared" si="10"/>
        <v>131.19999999999999</v>
      </c>
    </row>
    <row r="107" spans="1:37" x14ac:dyDescent="0.25">
      <c r="A107" s="102" t="s">
        <v>115</v>
      </c>
      <c r="B107" s="64">
        <v>132.6</v>
      </c>
      <c r="C107" s="64">
        <v>131.69999999999999</v>
      </c>
      <c r="D107" s="64">
        <v>133.80000000000001</v>
      </c>
      <c r="E107" s="64">
        <v>128.9</v>
      </c>
      <c r="F107" s="64">
        <v>128.9</v>
      </c>
      <c r="G107" s="64">
        <v>128.9</v>
      </c>
      <c r="H107" s="64">
        <v>128.9</v>
      </c>
      <c r="I107" s="64">
        <v>130</v>
      </c>
      <c r="J107" s="64">
        <v>129</v>
      </c>
      <c r="K107" s="64">
        <v>129</v>
      </c>
      <c r="L107" s="64">
        <v>129</v>
      </c>
      <c r="M107" s="64">
        <v>131.9</v>
      </c>
      <c r="N107" s="64">
        <v>130.9</v>
      </c>
      <c r="O107" s="64">
        <v>127.8</v>
      </c>
      <c r="P107" s="64">
        <v>127.4</v>
      </c>
      <c r="Q107" s="64">
        <v>131.19999999999999</v>
      </c>
      <c r="R107" s="64">
        <v>135</v>
      </c>
      <c r="S107" s="64">
        <v>134.19999999999999</v>
      </c>
      <c r="T107" s="64">
        <v>129.9</v>
      </c>
      <c r="U107" s="64">
        <v>132.5</v>
      </c>
      <c r="V107" s="64">
        <v>133.19999999999999</v>
      </c>
      <c r="W107" s="64">
        <v>133.80000000000001</v>
      </c>
      <c r="X107" s="64">
        <v>130</v>
      </c>
      <c r="Y107" s="64">
        <v>130.4</v>
      </c>
      <c r="Z107" s="64">
        <v>130.4</v>
      </c>
      <c r="AA107" s="64">
        <v>127.7</v>
      </c>
      <c r="AB107" s="64">
        <v>129</v>
      </c>
      <c r="AC107" s="64">
        <v>129.6</v>
      </c>
      <c r="AD107" s="64">
        <v>130.80000000000001</v>
      </c>
      <c r="AE107" s="64">
        <v>131.1</v>
      </c>
      <c r="AF107" s="64">
        <v>128.80000000000001</v>
      </c>
      <c r="AG107" s="103"/>
      <c r="AH107" s="47">
        <f t="shared" si="9"/>
        <v>135</v>
      </c>
      <c r="AI107" s="48">
        <f t="shared" si="10"/>
        <v>127.4</v>
      </c>
    </row>
    <row r="108" spans="1:37" ht="15.75" thickBot="1" x14ac:dyDescent="0.3">
      <c r="A108" s="102" t="s">
        <v>116</v>
      </c>
      <c r="B108" s="91">
        <v>65.8</v>
      </c>
      <c r="C108" s="91">
        <v>66.2</v>
      </c>
      <c r="D108" s="91">
        <v>66.2</v>
      </c>
      <c r="E108" s="91">
        <v>65.400000000000006</v>
      </c>
      <c r="F108" s="91">
        <v>65.400000000000006</v>
      </c>
      <c r="G108" s="91">
        <v>65.400000000000006</v>
      </c>
      <c r="H108" s="91">
        <v>66</v>
      </c>
      <c r="I108" s="91">
        <v>65.400000000000006</v>
      </c>
      <c r="J108" s="91">
        <v>64.599999999999994</v>
      </c>
      <c r="K108" s="91">
        <v>64.599999999999994</v>
      </c>
      <c r="L108" s="91">
        <v>64.599999999999994</v>
      </c>
      <c r="M108" s="91">
        <v>64</v>
      </c>
      <c r="N108" s="91">
        <v>63.3</v>
      </c>
      <c r="O108" s="91">
        <v>65.099999999999994</v>
      </c>
      <c r="P108" s="91">
        <v>65.3</v>
      </c>
      <c r="Q108" s="91">
        <v>65.2</v>
      </c>
      <c r="R108" s="91">
        <v>65.099999999999994</v>
      </c>
      <c r="S108" s="91">
        <v>64.900000000000006</v>
      </c>
      <c r="T108" s="91">
        <v>65.099999999999994</v>
      </c>
      <c r="U108" s="91">
        <v>65.099999999999994</v>
      </c>
      <c r="V108" s="91">
        <v>65.599999999999994</v>
      </c>
      <c r="W108" s="91">
        <v>64.8</v>
      </c>
      <c r="X108" s="91">
        <v>64.400000000000006</v>
      </c>
      <c r="Y108" s="91">
        <v>63.9</v>
      </c>
      <c r="Z108" s="91">
        <v>63.8</v>
      </c>
      <c r="AA108" s="91">
        <v>64.599999999999994</v>
      </c>
      <c r="AB108" s="91">
        <v>64.8</v>
      </c>
      <c r="AC108" s="91">
        <v>64.7</v>
      </c>
      <c r="AD108" s="91">
        <v>64.900000000000006</v>
      </c>
      <c r="AE108" s="91">
        <v>65.8</v>
      </c>
      <c r="AF108" s="91">
        <v>65.599999999999994</v>
      </c>
      <c r="AG108" s="107"/>
      <c r="AH108" s="47">
        <f t="shared" si="9"/>
        <v>66.2</v>
      </c>
      <c r="AI108" s="48">
        <f t="shared" si="10"/>
        <v>63.3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 t="s">
        <v>117</v>
      </c>
      <c r="Z109" s="91" t="s">
        <v>117</v>
      </c>
      <c r="AA109" s="91" t="s">
        <v>117</v>
      </c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56.699999999999996</v>
      </c>
      <c r="C110" s="110">
        <f t="shared" si="17"/>
        <v>52.84</v>
      </c>
      <c r="D110" s="110">
        <f t="shared" si="17"/>
        <v>47.839999999999996</v>
      </c>
      <c r="E110" s="110">
        <f t="shared" si="17"/>
        <v>51.139999999999986</v>
      </c>
      <c r="F110" s="110">
        <f t="shared" si="17"/>
        <v>43.04</v>
      </c>
      <c r="G110" s="110">
        <f t="shared" si="17"/>
        <v>49.439999999999984</v>
      </c>
      <c r="H110" s="110">
        <f t="shared" si="17"/>
        <v>67.139999999999986</v>
      </c>
      <c r="I110" s="110">
        <f t="shared" si="17"/>
        <v>92.34</v>
      </c>
      <c r="J110" s="110">
        <f t="shared" si="17"/>
        <v>127.64</v>
      </c>
      <c r="K110" s="110">
        <f t="shared" si="17"/>
        <v>143.64000000000001</v>
      </c>
      <c r="L110" s="110">
        <f t="shared" si="17"/>
        <v>178.74</v>
      </c>
      <c r="M110" s="110">
        <f t="shared" si="17"/>
        <v>160.84</v>
      </c>
      <c r="N110" s="110">
        <f t="shared" si="17"/>
        <v>187.54</v>
      </c>
      <c r="O110" s="110">
        <f t="shared" si="17"/>
        <v>178.74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143.19999999999999</v>
      </c>
      <c r="R110" s="110">
        <f t="shared" si="18"/>
        <v>123.5</v>
      </c>
      <c r="S110" s="110">
        <f>SUM(S20,S26,S29:S30,S58,S60:S61,S63,S65,S111:S115,S138,S144,S150,S159,S161,S173,S180,S183:S184,S191,S193,S195,S199:S201,S203:S205,S210,S216:S217,S219:S221,S229,S234)</f>
        <v>121.60000000000001</v>
      </c>
      <c r="T110" s="110">
        <f>SUM(T20,T26,T29:T30,T58,T60:T61,T63,T65,T111:T115,T138,T144,T150,T159,T161,T173,T180,T183:T184,T191,T193,T195,T199:T201,T203:T205,T210,T216:T217,T219:T221,T229,T234)</f>
        <v>122.9</v>
      </c>
      <c r="U110" s="110">
        <f>SUM(U20,U26,U29:U30,U58,U60:U61,U63,U65,U111:U115,U138,U144,U150,U159,U161,U173,U180,U183:U184,U191,U193,U195,U199:U201,U203:U205,U210,U216:U217,U219:U221,U229,U234)</f>
        <v>114.80000000000001</v>
      </c>
      <c r="V110" s="110">
        <f>SUM(V20,V26,V29:V30,V58,V60:V61,V63,V65,V111:V115,V138,V144,V150,V159,V161,V173,V180,V183:V184,V191,V193,V195,V199:V201,V203:V205,V210,V216:V217,V219:V221,V229,V234)</f>
        <v>126.10000000000004</v>
      </c>
      <c r="W110" s="110">
        <f t="shared" si="18"/>
        <v>147</v>
      </c>
      <c r="X110" s="110">
        <f t="shared" si="18"/>
        <v>152.20000000000002</v>
      </c>
      <c r="Y110" s="110">
        <f>SUM(Y20,Y26,Y29:Y30,Y58,Y60:Y61,Y63,Y65,Y111:Y115,Y138,Y144,Y150,Y159,Y161,Y173,Y180,Y183:Y184,Y191,Y193,Y195,Y199:Y201,Y203:Y205,Y210,Y216:Y217,Y219:Y221,Y229,Y234)</f>
        <v>173.4</v>
      </c>
      <c r="Z110" s="110">
        <f>SUM(Z20,Z26,Z29:Z30,Z58,Z60:Z61,Z63,Z65,Z111:Z115,Z138,Z144,Z150,Z159,Z161,Z173,Z180,Z183:Z184,Z191,Z193,Z195,Z199:Z201,Z203:Z205,Z210,Z216:Z217,Z219:Z221,Z229,Z234)</f>
        <v>275.09999999999997</v>
      </c>
      <c r="AA110" s="110">
        <f>SUM(AA20,AA26,AA29:AA30,AA58,AA60:AA61,AA63,AA65,AA111:AA115,AA138,AA144,AA150,AA159,AA161,AA173,AA180,AA183:AA184,AA191,AA193,AA195,AA199:AA201,AA203:AA205,AA210,AA216:AA217,AA219:AA221,AA229,AA234)</f>
        <v>408.7</v>
      </c>
      <c r="AB110" s="110">
        <f t="shared" si="18"/>
        <v>212.7</v>
      </c>
      <c r="AC110" s="110">
        <f t="shared" si="18"/>
        <v>194.3</v>
      </c>
      <c r="AD110" s="110"/>
      <c r="AE110" s="110">
        <f t="shared" si="18"/>
        <v>108.80000000000001</v>
      </c>
      <c r="AF110" s="110">
        <f t="shared" si="18"/>
        <v>74.599999999999994</v>
      </c>
      <c r="AG110" s="111"/>
      <c r="AH110" s="47">
        <f t="shared" si="9"/>
        <v>408.7</v>
      </c>
      <c r="AI110" s="48">
        <f t="shared" si="10"/>
        <v>42</v>
      </c>
    </row>
    <row r="111" spans="1:37" x14ac:dyDescent="0.25">
      <c r="A111" s="99" t="s">
        <v>119</v>
      </c>
      <c r="B111" s="112">
        <v>27.8</v>
      </c>
      <c r="C111" s="112">
        <v>27.5</v>
      </c>
      <c r="D111" s="112">
        <v>27</v>
      </c>
      <c r="E111" s="112">
        <v>21.5</v>
      </c>
      <c r="F111" s="112">
        <v>23.1</v>
      </c>
      <c r="G111" s="112">
        <v>24</v>
      </c>
      <c r="H111" s="112">
        <v>22.6</v>
      </c>
      <c r="I111" s="112">
        <v>25.4</v>
      </c>
      <c r="J111" s="112">
        <v>30.8</v>
      </c>
      <c r="K111" s="112">
        <v>30</v>
      </c>
      <c r="L111" s="112">
        <v>40.5</v>
      </c>
      <c r="M111" s="112">
        <v>37.9</v>
      </c>
      <c r="N111" s="112">
        <v>43.5</v>
      </c>
      <c r="O111" s="112">
        <v>45.2</v>
      </c>
      <c r="P111" s="112">
        <v>31.4</v>
      </c>
      <c r="Q111" s="112">
        <v>24.2</v>
      </c>
      <c r="R111" s="112">
        <v>25.2</v>
      </c>
      <c r="S111" s="112">
        <v>23.6</v>
      </c>
      <c r="T111" s="112">
        <v>25.4</v>
      </c>
      <c r="U111" s="112">
        <v>26.2</v>
      </c>
      <c r="V111" s="112">
        <v>29.3</v>
      </c>
      <c r="W111" s="112">
        <v>34.6</v>
      </c>
      <c r="X111" s="112">
        <v>50.6</v>
      </c>
      <c r="Y111" s="112">
        <v>46.2</v>
      </c>
      <c r="Z111" s="112">
        <v>50</v>
      </c>
      <c r="AA111" s="112">
        <v>42.3</v>
      </c>
      <c r="AB111" s="112">
        <v>43</v>
      </c>
      <c r="AC111" s="112">
        <v>40.6</v>
      </c>
      <c r="AD111" s="112">
        <v>36.5</v>
      </c>
      <c r="AE111" s="112">
        <v>20.9</v>
      </c>
      <c r="AF111" s="112">
        <v>15.6</v>
      </c>
      <c r="AG111" s="113">
        <v>75</v>
      </c>
      <c r="AH111" s="47">
        <f t="shared" si="9"/>
        <v>50.6</v>
      </c>
      <c r="AI111" s="48">
        <f t="shared" si="10"/>
        <v>15.6</v>
      </c>
    </row>
    <row r="112" spans="1:37" x14ac:dyDescent="0.25">
      <c r="A112" s="102" t="s">
        <v>120</v>
      </c>
      <c r="B112" s="114">
        <v>36.5</v>
      </c>
      <c r="C112" s="114">
        <v>36.1</v>
      </c>
      <c r="D112" s="114">
        <v>35.700000000000003</v>
      </c>
      <c r="E112" s="114">
        <v>27</v>
      </c>
      <c r="F112" s="114">
        <v>32.299999999999997</v>
      </c>
      <c r="G112" s="114">
        <v>35.4</v>
      </c>
      <c r="H112" s="114">
        <v>32.299999999999997</v>
      </c>
      <c r="I112" s="114">
        <v>35.299999999999997</v>
      </c>
      <c r="J112" s="114">
        <v>41.4</v>
      </c>
      <c r="K112" s="114">
        <v>39</v>
      </c>
      <c r="L112" s="114">
        <v>50.2</v>
      </c>
      <c r="M112" s="114">
        <v>49</v>
      </c>
      <c r="N112" s="114">
        <v>56.4</v>
      </c>
      <c r="O112" s="114">
        <v>60.6</v>
      </c>
      <c r="P112" s="114">
        <v>42.1</v>
      </c>
      <c r="Q112" s="114">
        <v>28.7</v>
      </c>
      <c r="R112" s="114">
        <v>31.6</v>
      </c>
      <c r="S112" s="114">
        <v>29.4</v>
      </c>
      <c r="T112" s="114">
        <v>31</v>
      </c>
      <c r="U112" s="114">
        <v>32</v>
      </c>
      <c r="V112" s="114">
        <v>36.700000000000003</v>
      </c>
      <c r="W112" s="114">
        <v>45.4</v>
      </c>
      <c r="X112" s="114">
        <v>39</v>
      </c>
      <c r="Y112" s="114">
        <v>63.1</v>
      </c>
      <c r="Z112" s="114">
        <v>70.8</v>
      </c>
      <c r="AA112" s="114">
        <v>60</v>
      </c>
      <c r="AB112" s="114">
        <v>60.8</v>
      </c>
      <c r="AC112" s="114">
        <v>54.7</v>
      </c>
      <c r="AD112" s="114">
        <v>50.6</v>
      </c>
      <c r="AE112" s="114">
        <v>27.3</v>
      </c>
      <c r="AF112" s="114">
        <v>24.4</v>
      </c>
      <c r="AG112" s="113">
        <v>240</v>
      </c>
      <c r="AH112" s="47">
        <f t="shared" si="9"/>
        <v>70.8</v>
      </c>
      <c r="AI112" s="48">
        <f t="shared" si="10"/>
        <v>24.4</v>
      </c>
    </row>
    <row r="113" spans="1:37" x14ac:dyDescent="0.25">
      <c r="A113" s="102" t="s">
        <v>121</v>
      </c>
      <c r="B113" s="114">
        <v>-110</v>
      </c>
      <c r="C113" s="114">
        <v>-110</v>
      </c>
      <c r="D113" s="114">
        <v>-115</v>
      </c>
      <c r="E113" s="114">
        <v>-104.7</v>
      </c>
      <c r="F113" s="114">
        <v>-110</v>
      </c>
      <c r="G113" s="114">
        <v>-104</v>
      </c>
      <c r="H113" s="114">
        <v>-86</v>
      </c>
      <c r="I113" s="114">
        <v>-77</v>
      </c>
      <c r="J113" s="114">
        <v>-58</v>
      </c>
      <c r="K113" s="114">
        <v>-77</v>
      </c>
      <c r="L113" s="114">
        <v>-65</v>
      </c>
      <c r="M113" s="114">
        <f>-33-30.2</f>
        <v>-63.2</v>
      </c>
      <c r="N113" s="114">
        <f>-29.3-33.1</f>
        <v>-62.400000000000006</v>
      </c>
      <c r="O113" s="114">
        <f>-34-36</f>
        <v>-70</v>
      </c>
      <c r="P113" s="114">
        <f>-29-30.6</f>
        <v>-59.6</v>
      </c>
      <c r="Q113" s="114">
        <f>-26.4-27.7</f>
        <v>-54.099999999999994</v>
      </c>
      <c r="R113" s="114">
        <f>-32.6-35</f>
        <v>-67.599999999999994</v>
      </c>
      <c r="S113" s="114">
        <v>-65.099999999999994</v>
      </c>
      <c r="T113" s="114">
        <v>-71.5</v>
      </c>
      <c r="U113" s="114">
        <v>-83.2</v>
      </c>
      <c r="V113" s="114">
        <v>-78.5</v>
      </c>
      <c r="W113" s="114">
        <f>-33.6-36.1</f>
        <v>-69.7</v>
      </c>
      <c r="X113" s="114">
        <v>-72</v>
      </c>
      <c r="Y113" s="114">
        <v>-62</v>
      </c>
      <c r="Z113" s="114">
        <v>-43.3</v>
      </c>
      <c r="AA113" s="114">
        <v>81.8</v>
      </c>
      <c r="AB113" s="114">
        <v>-104</v>
      </c>
      <c r="AC113" s="114">
        <v>-103</v>
      </c>
      <c r="AD113" s="114">
        <v>-109</v>
      </c>
      <c r="AE113" s="114">
        <v>-103</v>
      </c>
      <c r="AF113" s="114">
        <v>-120</v>
      </c>
      <c r="AG113" s="113">
        <v>240</v>
      </c>
      <c r="AH113" s="47">
        <f t="shared" si="9"/>
        <v>81.8</v>
      </c>
      <c r="AI113" s="48">
        <f t="shared" si="10"/>
        <v>-120</v>
      </c>
    </row>
    <row r="114" spans="1:37" x14ac:dyDescent="0.25">
      <c r="A114" s="102" t="s">
        <v>122</v>
      </c>
      <c r="B114" s="114">
        <v>-4.4000000000000004</v>
      </c>
      <c r="C114" s="114">
        <v>-8.5</v>
      </c>
      <c r="D114" s="114">
        <v>-7.6</v>
      </c>
      <c r="E114" s="114">
        <v>-8.6999999999999993</v>
      </c>
      <c r="F114" s="114">
        <v>-5.4</v>
      </c>
      <c r="G114" s="114">
        <v>-4.7</v>
      </c>
      <c r="H114" s="114">
        <v>-0.5</v>
      </c>
      <c r="I114" s="114">
        <v>1.1000000000000001</v>
      </c>
      <c r="J114" s="114">
        <v>5.7</v>
      </c>
      <c r="K114" s="114">
        <v>0.9</v>
      </c>
      <c r="L114" s="114">
        <v>3.9</v>
      </c>
      <c r="M114" s="114">
        <v>6</v>
      </c>
      <c r="N114" s="114">
        <v>5.7</v>
      </c>
      <c r="O114" s="114">
        <v>4</v>
      </c>
      <c r="P114" s="114">
        <v>5.7</v>
      </c>
      <c r="Q114" s="114">
        <v>9.3000000000000007</v>
      </c>
      <c r="R114" s="114">
        <v>0</v>
      </c>
      <c r="S114" s="114">
        <v>2.6</v>
      </c>
      <c r="T114" s="114">
        <v>8.3000000000000007</v>
      </c>
      <c r="U114" s="114">
        <v>7.9</v>
      </c>
      <c r="V114" s="114">
        <v>4.2</v>
      </c>
      <c r="W114" s="114">
        <v>5.2</v>
      </c>
      <c r="X114" s="114">
        <v>6.4</v>
      </c>
      <c r="Y114" s="114">
        <v>10.9</v>
      </c>
      <c r="Z114" s="114">
        <v>13.1</v>
      </c>
      <c r="AA114" s="114">
        <v>20.5</v>
      </c>
      <c r="AB114" s="114">
        <v>4.9000000000000004</v>
      </c>
      <c r="AC114" s="114">
        <v>3.6</v>
      </c>
      <c r="AD114" s="114">
        <v>2.8</v>
      </c>
      <c r="AE114" s="114">
        <v>0</v>
      </c>
      <c r="AF114" s="114">
        <v>-3.2</v>
      </c>
      <c r="AG114" s="113">
        <v>60</v>
      </c>
      <c r="AH114" s="47">
        <f t="shared" si="9"/>
        <v>20.5</v>
      </c>
      <c r="AI114" s="48">
        <f t="shared" si="10"/>
        <v>-8.6999999999999993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34</v>
      </c>
      <c r="L115" s="116">
        <v>32.4</v>
      </c>
      <c r="M115" s="116">
        <v>14.6</v>
      </c>
      <c r="N115" s="116">
        <v>31.9</v>
      </c>
      <c r="O115" s="116">
        <v>14.4</v>
      </c>
      <c r="P115" s="116">
        <v>23.4</v>
      </c>
      <c r="Q115" s="116">
        <v>14.7</v>
      </c>
      <c r="R115" s="116">
        <v>14.9</v>
      </c>
      <c r="S115" s="116">
        <v>15.2</v>
      </c>
      <c r="T115" s="116">
        <v>15.7</v>
      </c>
      <c r="U115" s="116">
        <v>22.1</v>
      </c>
      <c r="V115" s="116">
        <v>26</v>
      </c>
      <c r="W115" s="116">
        <v>21.7</v>
      </c>
      <c r="X115" s="116">
        <v>24</v>
      </c>
      <c r="Y115" s="116">
        <v>32.4</v>
      </c>
      <c r="Z115" s="116">
        <v>69.3</v>
      </c>
      <c r="AA115" s="116">
        <v>38.9</v>
      </c>
      <c r="AB115" s="116">
        <v>42.8</v>
      </c>
      <c r="AC115" s="116">
        <v>43.2</v>
      </c>
      <c r="AD115" s="116">
        <v>31</v>
      </c>
      <c r="AE115" s="116">
        <v>28.4</v>
      </c>
      <c r="AF115" s="116">
        <v>28.6</v>
      </c>
      <c r="AG115" s="117">
        <v>120</v>
      </c>
      <c r="AH115" s="47">
        <f t="shared" si="9"/>
        <v>69.3</v>
      </c>
      <c r="AI115" s="48">
        <f t="shared" si="10"/>
        <v>0</v>
      </c>
    </row>
    <row r="116" spans="1:37" x14ac:dyDescent="0.25">
      <c r="A116" s="115" t="s">
        <v>124</v>
      </c>
      <c r="B116" s="116">
        <v>25.8</v>
      </c>
      <c r="C116" s="116">
        <v>24.4</v>
      </c>
      <c r="D116" s="116">
        <v>4.9000000000000004</v>
      </c>
      <c r="E116" s="116">
        <v>19.100000000000001</v>
      </c>
      <c r="F116" s="116">
        <v>19.600000000000001</v>
      </c>
      <c r="G116" s="116">
        <v>10.3</v>
      </c>
      <c r="H116" s="116">
        <v>10.7</v>
      </c>
      <c r="I116" s="116">
        <v>11.2</v>
      </c>
      <c r="J116" s="116">
        <v>30</v>
      </c>
      <c r="K116" s="116">
        <v>14.5</v>
      </c>
      <c r="L116" s="116">
        <v>14.4</v>
      </c>
      <c r="M116" s="116">
        <v>13.2</v>
      </c>
      <c r="N116" s="116">
        <v>15.6</v>
      </c>
      <c r="O116" s="116">
        <v>6.8</v>
      </c>
      <c r="P116" s="116">
        <v>32</v>
      </c>
      <c r="Q116" s="116">
        <v>44</v>
      </c>
      <c r="R116" s="116">
        <v>32</v>
      </c>
      <c r="S116" s="116">
        <v>34.5</v>
      </c>
      <c r="T116" s="116">
        <v>16.3</v>
      </c>
      <c r="U116" s="116">
        <v>18.2</v>
      </c>
      <c r="V116" s="116">
        <v>21.1</v>
      </c>
      <c r="W116" s="116">
        <v>17.3</v>
      </c>
      <c r="X116" s="116">
        <v>14</v>
      </c>
      <c r="Y116" s="116">
        <v>18.100000000000001</v>
      </c>
      <c r="Z116" s="116">
        <v>38.4</v>
      </c>
      <c r="AA116" s="116">
        <v>20.9</v>
      </c>
      <c r="AB116" s="116">
        <v>7.1</v>
      </c>
      <c r="AC116" s="116">
        <v>11.1</v>
      </c>
      <c r="AD116" s="116">
        <v>16.899999999999999</v>
      </c>
      <c r="AE116" s="116">
        <v>17.2</v>
      </c>
      <c r="AF116" s="116">
        <v>16.3</v>
      </c>
      <c r="AG116" s="117"/>
      <c r="AH116" s="47">
        <f t="shared" si="9"/>
        <v>44</v>
      </c>
      <c r="AI116" s="48">
        <f t="shared" si="10"/>
        <v>4.9000000000000004</v>
      </c>
    </row>
    <row r="117" spans="1:37" x14ac:dyDescent="0.25">
      <c r="A117" s="115" t="s">
        <v>125</v>
      </c>
      <c r="B117" s="116">
        <v>-27.1</v>
      </c>
      <c r="C117" s="116">
        <v>-27</v>
      </c>
      <c r="D117" s="116">
        <v>-27</v>
      </c>
      <c r="E117" s="116">
        <v>-4.5999999999999996</v>
      </c>
      <c r="F117" s="116">
        <v>-25.6</v>
      </c>
      <c r="G117" s="116">
        <v>-34.4</v>
      </c>
      <c r="H117" s="116">
        <v>-25.8</v>
      </c>
      <c r="I117" s="116">
        <v>-25</v>
      </c>
      <c r="J117" s="116">
        <v>-17.7</v>
      </c>
      <c r="K117" s="116">
        <v>-16.600000000000001</v>
      </c>
      <c r="L117" s="116">
        <v>-28.5</v>
      </c>
      <c r="M117" s="116">
        <v>-17.7</v>
      </c>
      <c r="N117" s="116">
        <v>-18.100000000000001</v>
      </c>
      <c r="O117" s="116">
        <v>-25.5</v>
      </c>
      <c r="P117" s="116">
        <v>-3.5</v>
      </c>
      <c r="Q117" s="116">
        <v>3.9</v>
      </c>
      <c r="R117" s="116">
        <v>13.5</v>
      </c>
      <c r="S117" s="116">
        <v>1.5</v>
      </c>
      <c r="T117" s="116">
        <v>-14.1</v>
      </c>
      <c r="U117" s="116">
        <v>-14.7</v>
      </c>
      <c r="V117" s="116">
        <v>-15.8</v>
      </c>
      <c r="W117" s="116">
        <v>-19.5</v>
      </c>
      <c r="X117" s="116">
        <v>-30</v>
      </c>
      <c r="Y117" s="116">
        <v>-24.2</v>
      </c>
      <c r="Z117" s="116">
        <v>-12.5</v>
      </c>
      <c r="AA117" s="116">
        <v>-15.1</v>
      </c>
      <c r="AB117" s="116">
        <v>-15.6</v>
      </c>
      <c r="AC117" s="116">
        <v>-21.4</v>
      </c>
      <c r="AD117" s="116">
        <v>-5.5</v>
      </c>
      <c r="AE117" s="116">
        <v>7.1</v>
      </c>
      <c r="AF117" s="116">
        <v>-5</v>
      </c>
      <c r="AG117" s="118"/>
      <c r="AH117" s="47">
        <f t="shared" si="9"/>
        <v>13.5</v>
      </c>
      <c r="AI117" s="48">
        <f t="shared" si="10"/>
        <v>-34.4</v>
      </c>
    </row>
    <row r="118" spans="1:37" x14ac:dyDescent="0.25">
      <c r="A118" s="119" t="s">
        <v>126</v>
      </c>
      <c r="B118" s="105">
        <v>52</v>
      </c>
      <c r="C118" s="105">
        <v>48.8</v>
      </c>
      <c r="D118" s="105">
        <v>49.6</v>
      </c>
      <c r="E118" s="105">
        <v>37.200000000000003</v>
      </c>
      <c r="F118" s="105">
        <v>54.4</v>
      </c>
      <c r="G118" s="105">
        <v>55.7</v>
      </c>
      <c r="H118" s="105">
        <v>58.2</v>
      </c>
      <c r="I118" s="105">
        <v>65.8</v>
      </c>
      <c r="J118" s="105">
        <v>62.9</v>
      </c>
      <c r="K118" s="105">
        <v>62</v>
      </c>
      <c r="L118" s="105">
        <v>59.3</v>
      </c>
      <c r="M118" s="105">
        <v>59.2</v>
      </c>
      <c r="N118" s="105">
        <v>61.8</v>
      </c>
      <c r="O118" s="105">
        <v>57.1</v>
      </c>
      <c r="P118" s="105">
        <v>60.4</v>
      </c>
      <c r="Q118" s="105">
        <v>58.5</v>
      </c>
      <c r="R118" s="105">
        <v>41.4</v>
      </c>
      <c r="S118" s="105">
        <v>31.7</v>
      </c>
      <c r="T118" s="105">
        <v>23.7</v>
      </c>
      <c r="U118" s="105">
        <v>43.8</v>
      </c>
      <c r="V118" s="105">
        <v>45.4</v>
      </c>
      <c r="W118" s="105">
        <v>47</v>
      </c>
      <c r="X118" s="105">
        <v>42</v>
      </c>
      <c r="Y118" s="105">
        <v>23.3</v>
      </c>
      <c r="Z118" s="105">
        <v>16.5</v>
      </c>
      <c r="AA118" s="105">
        <v>8.8000000000000007</v>
      </c>
      <c r="AB118" s="105">
        <v>13.3</v>
      </c>
      <c r="AC118" s="105">
        <v>15.6</v>
      </c>
      <c r="AD118" s="105">
        <v>31</v>
      </c>
      <c r="AE118" s="105">
        <v>31.9</v>
      </c>
      <c r="AF118" s="105">
        <v>43.3</v>
      </c>
      <c r="AG118" s="118"/>
      <c r="AH118" s="47">
        <f t="shared" si="9"/>
        <v>65.8</v>
      </c>
      <c r="AI118" s="48">
        <f t="shared" si="10"/>
        <v>8.8000000000000007</v>
      </c>
    </row>
    <row r="119" spans="1:37" x14ac:dyDescent="0.25">
      <c r="A119" s="120" t="s">
        <v>127</v>
      </c>
      <c r="B119" s="105">
        <v>88.2</v>
      </c>
      <c r="C119" s="105">
        <v>89</v>
      </c>
      <c r="D119" s="105">
        <v>87.1</v>
      </c>
      <c r="E119" s="105">
        <v>78.2</v>
      </c>
      <c r="F119" s="105">
        <v>89.4</v>
      </c>
      <c r="G119" s="105">
        <v>86</v>
      </c>
      <c r="H119" s="105">
        <v>72.8</v>
      </c>
      <c r="I119" s="105">
        <v>62.5</v>
      </c>
      <c r="J119" s="105">
        <v>62.5</v>
      </c>
      <c r="K119" s="105">
        <v>61.9</v>
      </c>
      <c r="L119" s="105">
        <v>60</v>
      </c>
      <c r="M119" s="105">
        <v>54.6</v>
      </c>
      <c r="N119" s="105">
        <v>61</v>
      </c>
      <c r="O119" s="105">
        <v>62.5</v>
      </c>
      <c r="P119" s="105">
        <v>47.5</v>
      </c>
      <c r="Q119" s="105">
        <v>39.6</v>
      </c>
      <c r="R119" s="105">
        <v>45.8</v>
      </c>
      <c r="S119" s="105">
        <v>45.4</v>
      </c>
      <c r="T119" s="105">
        <v>57.3</v>
      </c>
      <c r="U119" s="105">
        <v>63</v>
      </c>
      <c r="V119" s="105">
        <v>59.7</v>
      </c>
      <c r="W119" s="105">
        <v>58.5</v>
      </c>
      <c r="X119" s="105">
        <v>65</v>
      </c>
      <c r="Y119" s="105">
        <v>56.3</v>
      </c>
      <c r="Z119" s="105">
        <v>48.6</v>
      </c>
      <c r="AA119" s="105">
        <v>67.8</v>
      </c>
      <c r="AB119" s="105">
        <v>83.2</v>
      </c>
      <c r="AC119" s="105">
        <v>79.900000000000006</v>
      </c>
      <c r="AD119" s="105">
        <v>81.599999999999994</v>
      </c>
      <c r="AE119" s="105">
        <v>67.599999999999994</v>
      </c>
      <c r="AF119" s="105">
        <v>79.3</v>
      </c>
      <c r="AG119" s="118"/>
      <c r="AH119" s="47">
        <f t="shared" si="9"/>
        <v>89.4</v>
      </c>
      <c r="AI119" s="48">
        <f t="shared" si="10"/>
        <v>39.6</v>
      </c>
    </row>
    <row r="120" spans="1:37" ht="15.75" thickBot="1" x14ac:dyDescent="0.3">
      <c r="A120" s="119" t="s">
        <v>128</v>
      </c>
      <c r="B120" s="105">
        <v>7.6</v>
      </c>
      <c r="C120" s="105">
        <v>3.9</v>
      </c>
      <c r="D120" s="105">
        <v>8.3000000000000007</v>
      </c>
      <c r="E120" s="105">
        <v>9.3000000000000007</v>
      </c>
      <c r="F120" s="105">
        <v>1.9</v>
      </c>
      <c r="G120" s="105">
        <v>3.8</v>
      </c>
      <c r="H120" s="105">
        <v>-5.8</v>
      </c>
      <c r="I120" s="105">
        <v>-13.6</v>
      </c>
      <c r="J120" s="105">
        <v>-17</v>
      </c>
      <c r="K120" s="105">
        <v>-15.4</v>
      </c>
      <c r="L120" s="105">
        <v>-9.4</v>
      </c>
      <c r="M120" s="105">
        <v>-20.7</v>
      </c>
      <c r="N120" s="105">
        <v>-13.9</v>
      </c>
      <c r="O120" s="105">
        <v>-21.9</v>
      </c>
      <c r="P120" s="105">
        <v>-21.5</v>
      </c>
      <c r="Q120" s="105">
        <v>-24.2</v>
      </c>
      <c r="R120" s="105">
        <v>-20.5</v>
      </c>
      <c r="S120" s="105">
        <v>-12.7</v>
      </c>
      <c r="T120" s="105">
        <v>-14.6</v>
      </c>
      <c r="U120" s="105">
        <v>-18.3</v>
      </c>
      <c r="V120" s="105">
        <v>-12.7</v>
      </c>
      <c r="W120" s="105">
        <v>-8.8000000000000007</v>
      </c>
      <c r="X120" s="105">
        <v>9</v>
      </c>
      <c r="Y120" s="105">
        <v>18.3</v>
      </c>
      <c r="Z120" s="105">
        <v>17.600000000000001</v>
      </c>
      <c r="AA120" s="105">
        <v>20.100000000000001</v>
      </c>
      <c r="AB120" s="105">
        <v>18.8</v>
      </c>
      <c r="AC120" s="105">
        <v>14.5</v>
      </c>
      <c r="AD120" s="105">
        <v>7.9</v>
      </c>
      <c r="AE120" s="105">
        <v>14.7</v>
      </c>
      <c r="AF120" s="105">
        <v>10.4</v>
      </c>
      <c r="AG120" s="118"/>
      <c r="AH120" s="47">
        <f t="shared" si="9"/>
        <v>20.100000000000001</v>
      </c>
      <c r="AI120" s="48">
        <f t="shared" si="10"/>
        <v>-24.2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1883.04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1884.74</v>
      </c>
      <c r="U249" s="170">
        <f t="shared" si="23"/>
        <v>1884.44</v>
      </c>
      <c r="V249" s="170">
        <f t="shared" si="23"/>
        <v>1880.14</v>
      </c>
      <c r="W249" s="170">
        <f t="shared" si="23"/>
        <v>1809.44</v>
      </c>
      <c r="X249" s="170">
        <f t="shared" si="23"/>
        <v>1845.44</v>
      </c>
      <c r="Y249" s="170">
        <f t="shared" si="23"/>
        <v>1824.3400000000001</v>
      </c>
      <c r="Z249" s="170">
        <f t="shared" si="23"/>
        <v>1806.2400000000002</v>
      </c>
      <c r="AA249" s="170">
        <f t="shared" si="23"/>
        <v>1840.64</v>
      </c>
      <c r="AB249" s="170">
        <f t="shared" si="23"/>
        <v>1869.3400000000001</v>
      </c>
      <c r="AC249" s="170">
        <f t="shared" si="23"/>
        <v>1876.14</v>
      </c>
      <c r="AD249" s="170">
        <f t="shared" si="23"/>
        <v>1866.14</v>
      </c>
      <c r="AE249" s="170">
        <f t="shared" si="23"/>
        <v>1844.1399999999999</v>
      </c>
      <c r="AF249" s="170">
        <f t="shared" si="23"/>
        <v>1883.04</v>
      </c>
      <c r="AG249" s="170">
        <f t="shared" si="23"/>
        <v>1891.74</v>
      </c>
      <c r="AH249" s="170">
        <f t="shared" si="23"/>
        <v>1805.34</v>
      </c>
      <c r="AI249" s="170">
        <f t="shared" si="23"/>
        <v>1762.1399999999999</v>
      </c>
      <c r="AJ249" s="170">
        <f t="shared" si="23"/>
        <v>1770.04</v>
      </c>
      <c r="AK249" s="170">
        <f t="shared" si="23"/>
        <v>1763.24</v>
      </c>
      <c r="AL249" s="170">
        <f t="shared" si="23"/>
        <v>1779.34</v>
      </c>
      <c r="AM249" s="170">
        <f t="shared" si="23"/>
        <v>1785.7399999999998</v>
      </c>
      <c r="AN249" s="170">
        <f t="shared" si="23"/>
        <v>1784.34</v>
      </c>
      <c r="AO249" s="170">
        <f t="shared" si="23"/>
        <v>1775.1399999999999</v>
      </c>
      <c r="AP249" s="170">
        <f t="shared" si="23"/>
        <v>1795.54</v>
      </c>
      <c r="AQ249" s="170">
        <f t="shared" si="23"/>
        <v>1824.84</v>
      </c>
      <c r="AR249" s="170">
        <f t="shared" si="23"/>
        <v>1916.84</v>
      </c>
      <c r="AS249" s="170">
        <f t="shared" si="23"/>
        <v>1948.84</v>
      </c>
      <c r="AT249" s="170">
        <f t="shared" si="23"/>
        <v>1969.5399999999997</v>
      </c>
      <c r="AU249" s="170">
        <f t="shared" si="23"/>
        <v>1963.2399999999998</v>
      </c>
      <c r="AV249" s="170">
        <f t="shared" si="23"/>
        <v>1940.6399999999999</v>
      </c>
      <c r="AW249" s="170">
        <f t="shared" si="23"/>
        <v>1893.4399999999998</v>
      </c>
      <c r="AX249" s="170">
        <f t="shared" si="23"/>
        <v>1856.5399999999997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975" priority="92">
      <formula>$AH11=0</formula>
    </cfRule>
  </conditionalFormatting>
  <conditionalFormatting sqref="B8 M8 S8 AB8">
    <cfRule type="expression" dxfId="2974" priority="143">
      <formula>AND(C$9&gt;=14/24,C$9&lt;20/24)</formula>
    </cfRule>
    <cfRule type="expression" dxfId="2973" priority="144">
      <formula>AND(C$9&gt;=8/24,C$9&lt;14/24)</formula>
    </cfRule>
    <cfRule type="expression" dxfId="2972" priority="145">
      <formula>C$9&lt;8/24</formula>
    </cfRule>
  </conditionalFormatting>
  <conditionalFormatting sqref="B55:E66 F60:L66 N62:Z65 M62:M66">
    <cfRule type="expression" dxfId="2971" priority="6">
      <formula>B$9&gt;=20/24</formula>
    </cfRule>
    <cfRule type="expression" dxfId="2970" priority="7">
      <formula>AND(B$9&gt;=14/24,B$9&lt;20/24)</formula>
    </cfRule>
    <cfRule type="expression" dxfId="2969" priority="8">
      <formula>AND(B$9&gt;=8/24,B$9&lt;14/24)</formula>
    </cfRule>
    <cfRule type="expression" dxfId="2968" priority="9">
      <formula>B$9&lt;8/24</formula>
    </cfRule>
  </conditionalFormatting>
  <conditionalFormatting sqref="B9:AF45">
    <cfRule type="expression" dxfId="2967" priority="20">
      <formula>AND(B$9&gt;=14/24,B$9&lt;20/24)</formula>
    </cfRule>
    <cfRule type="expression" dxfId="2966" priority="19">
      <formula>B$9&gt;=20/24</formula>
    </cfRule>
    <cfRule type="expression" dxfId="2965" priority="21">
      <formula>AND(B$9&gt;=8/24,B$9&lt;14/24)</formula>
    </cfRule>
    <cfRule type="expression" dxfId="2964" priority="22">
      <formula>B$9&lt;8/24</formula>
    </cfRule>
  </conditionalFormatting>
  <conditionalFormatting sqref="B11:AF46">
    <cfRule type="expression" dxfId="2963" priority="18">
      <formula>B11&gt;$AG11</formula>
    </cfRule>
  </conditionalFormatting>
  <conditionalFormatting sqref="B46:AF46">
    <cfRule type="expression" dxfId="2962" priority="14">
      <formula>B$9&gt;=20/24</formula>
    </cfRule>
    <cfRule type="expression" dxfId="2961" priority="15">
      <formula>AND(B$9&gt;=14/24,B$9&lt;20/24)</formula>
    </cfRule>
    <cfRule type="expression" dxfId="2960" priority="16">
      <formula>AND(B$9&gt;=8/24,B$9&lt;14/24)</formula>
    </cfRule>
    <cfRule type="expression" dxfId="2959" priority="17">
      <formula>B$9&lt;8/24</formula>
    </cfRule>
  </conditionalFormatting>
  <conditionalFormatting sqref="B47:AF47">
    <cfRule type="expression" dxfId="2958" priority="28">
      <formula>B47&gt;$AG47</formula>
    </cfRule>
  </conditionalFormatting>
  <conditionalFormatting sqref="B47:AF49">
    <cfRule type="expression" dxfId="2957" priority="27">
      <formula>B$9&lt;8/24</formula>
    </cfRule>
    <cfRule type="expression" dxfId="2956" priority="24">
      <formula>B$9&gt;=20/24</formula>
    </cfRule>
    <cfRule type="expression" dxfId="2955" priority="25">
      <formula>AND(B$9&gt;=14/24,B$9&lt;20/24)</formula>
    </cfRule>
    <cfRule type="expression" dxfId="2954" priority="26">
      <formula>AND(B$9&gt;=8/24,B$9&lt;14/24)</formula>
    </cfRule>
  </conditionalFormatting>
  <conditionalFormatting sqref="B48:AF53">
    <cfRule type="expression" dxfId="2953" priority="23">
      <formula>B48&gt;$AG48</formula>
    </cfRule>
  </conditionalFormatting>
  <conditionalFormatting sqref="B51:AF53">
    <cfRule type="expression" dxfId="2952" priority="78">
      <formula>B$9&lt;8/24</formula>
    </cfRule>
    <cfRule type="expression" dxfId="2951" priority="77">
      <formula>AND(B$9&gt;=8/24,B$9&lt;14/24)</formula>
    </cfRule>
    <cfRule type="expression" dxfId="2950" priority="76">
      <formula>AND(B$9&gt;=14/24,B$9&lt;20/24)</formula>
    </cfRule>
    <cfRule type="expression" dxfId="2949" priority="75">
      <formula>B$9&gt;=20/24</formula>
    </cfRule>
  </conditionalFormatting>
  <conditionalFormatting sqref="B55:AF66">
    <cfRule type="expression" dxfId="2948" priority="1">
      <formula>B55&gt;$AG55</formula>
    </cfRule>
  </conditionalFormatting>
  <conditionalFormatting sqref="B61:AF66">
    <cfRule type="expression" dxfId="2947" priority="2">
      <formula>B$9&gt;=20/24</formula>
    </cfRule>
    <cfRule type="expression" dxfId="2946" priority="5">
      <formula>B$9&lt;8/24</formula>
    </cfRule>
    <cfRule type="expression" dxfId="2945" priority="4">
      <formula>AND(B$9&gt;=8/24,B$9&lt;14/24)</formula>
    </cfRule>
    <cfRule type="expression" dxfId="2944" priority="3">
      <formula>AND(B$9&gt;=14/24,B$9&lt;20/24)</formula>
    </cfRule>
  </conditionalFormatting>
  <conditionalFormatting sqref="B69:AF71">
    <cfRule type="expression" dxfId="2943" priority="85">
      <formula>AND(B$9&gt;=14/24,B$9&lt;20/24)</formula>
    </cfRule>
    <cfRule type="expression" dxfId="2942" priority="87">
      <formula>B$9&lt;8/24</formula>
    </cfRule>
    <cfRule type="expression" dxfId="2941" priority="86">
      <formula>AND(B$9&gt;=8/24,B$9&lt;14/24)</formula>
    </cfRule>
    <cfRule type="expression" dxfId="2940" priority="84">
      <formula>B$9&gt;=20/24</formula>
    </cfRule>
    <cfRule type="expression" dxfId="2939" priority="83">
      <formula>B69&gt;$AG69</formula>
    </cfRule>
  </conditionalFormatting>
  <conditionalFormatting sqref="B73:AF91">
    <cfRule type="expression" dxfId="2938" priority="29">
      <formula>B$9&gt;=20/24</formula>
    </cfRule>
    <cfRule type="expression" dxfId="2937" priority="30">
      <formula>AND(B$9&gt;=14/24,B$9&lt;20/24)</formula>
    </cfRule>
    <cfRule type="expression" dxfId="2936" priority="31">
      <formula>AND(B$9&gt;=8/24,B$9&lt;14/24)</formula>
    </cfRule>
    <cfRule type="expression" dxfId="2935" priority="32">
      <formula>B$9&lt;8/24</formula>
    </cfRule>
  </conditionalFormatting>
  <conditionalFormatting sqref="B111:AF120">
    <cfRule type="expression" dxfId="2934" priority="44">
      <formula>AND(B$9&gt;=8/24,B$9&lt;14/24)</formula>
    </cfRule>
    <cfRule type="expression" dxfId="2933" priority="42">
      <formula>B$9&gt;=20/24</formula>
    </cfRule>
    <cfRule type="expression" dxfId="2932" priority="43">
      <formula>AND(B$9&gt;=14/24,B$9&lt;20/24)</formula>
    </cfRule>
    <cfRule type="expression" dxfId="2931" priority="45">
      <formula>B$9&lt;8/24</formula>
    </cfRule>
  </conditionalFormatting>
  <conditionalFormatting sqref="B227:AF227 D229:AF230 B229:B235 D231:H231 J231:AF231 D232:AF235 U248:AF248">
    <cfRule type="expression" dxfId="2930" priority="138">
      <formula>AND(B$9&gt;=8/24,B$9&lt;14/24)</formula>
    </cfRule>
    <cfRule type="expression" dxfId="2929" priority="139">
      <formula>B$9&lt;8/24</formula>
    </cfRule>
    <cfRule type="expression" dxfId="2928" priority="137">
      <formula>AND(B$9&gt;=14/24,B$9&lt;20/24)</formula>
    </cfRule>
    <cfRule type="expression" dxfId="2927" priority="136">
      <formula>B$9&gt;=20/24</formula>
    </cfRule>
  </conditionalFormatting>
  <conditionalFormatting sqref="B54:AG54">
    <cfRule type="expression" dxfId="2926" priority="68">
      <formula>AND(B$9&gt;=8/24,B$9&lt;14/24)</formula>
    </cfRule>
    <cfRule type="expression" dxfId="2925" priority="69">
      <formula>B$9&lt;8/24</formula>
    </cfRule>
    <cfRule type="expression" dxfId="2924" priority="67">
      <formula>AND(B$9&gt;=14/24,B$9&lt;20/24)</formula>
    </cfRule>
    <cfRule type="expression" dxfId="2923" priority="66">
      <formula>B$9&gt;=20/24</formula>
    </cfRule>
    <cfRule type="expression" dxfId="2922" priority="61">
      <formula>B54&gt;$AG54</formula>
    </cfRule>
  </conditionalFormatting>
  <conditionalFormatting sqref="B67:AG68 B72:AG72">
    <cfRule type="expression" dxfId="2921" priority="70">
      <formula>B67&gt;$AG67</formula>
    </cfRule>
  </conditionalFormatting>
  <conditionalFormatting sqref="B72:AG72 B93:AF109">
    <cfRule type="expression" dxfId="2920" priority="73">
      <formula>AND(B$9&gt;=8/24,B$9&lt;14/24)</formula>
    </cfRule>
    <cfRule type="expression" dxfId="2919" priority="72">
      <formula>AND(B$9&gt;=14/24,B$9&lt;20/24)</formula>
    </cfRule>
    <cfRule type="expression" dxfId="2918" priority="71">
      <formula>B$9&gt;=20/24</formula>
    </cfRule>
    <cfRule type="expression" dxfId="2917" priority="74">
      <formula>B$9&lt;8/24</formula>
    </cfRule>
  </conditionalFormatting>
  <conditionalFormatting sqref="E55:L57">
    <cfRule type="expression" dxfId="2916" priority="119">
      <formula>AND(E$9&gt;=8/24,E$9&lt;14/24)</formula>
    </cfRule>
    <cfRule type="expression" dxfId="2915" priority="120">
      <formula>E$9&lt;8/24</formula>
    </cfRule>
    <cfRule type="expression" dxfId="2914" priority="117">
      <formula>E$9&gt;=20/24</formula>
    </cfRule>
    <cfRule type="expression" dxfId="2913" priority="118">
      <formula>AND(E$9&gt;=14/24,E$9&lt;20/24)</formula>
    </cfRule>
  </conditionalFormatting>
  <conditionalFormatting sqref="E60:Z60">
    <cfRule type="expression" dxfId="2912" priority="80">
      <formula>AND(E$9&gt;=14/24,E$9&lt;20/24)</formula>
    </cfRule>
    <cfRule type="expression" dxfId="2911" priority="81">
      <formula>AND(E$9&gt;=8/24,E$9&lt;14/24)</formula>
    </cfRule>
    <cfRule type="expression" dxfId="2910" priority="82">
      <formula>E$9&lt;8/24</formula>
    </cfRule>
    <cfRule type="expression" dxfId="2909" priority="79">
      <formula>E$9&gt;=20/24</formula>
    </cfRule>
  </conditionalFormatting>
  <conditionalFormatting sqref="M55:Z59">
    <cfRule type="expression" dxfId="2908" priority="123">
      <formula>AND(M$9&gt;=8/24,M$9&lt;14/24)</formula>
    </cfRule>
    <cfRule type="expression" dxfId="2907" priority="122">
      <formula>AND(M$9&gt;=14/24,M$9&lt;20/24)</formula>
    </cfRule>
    <cfRule type="expression" dxfId="2906" priority="124">
      <formula>M$9&lt;8/24</formula>
    </cfRule>
    <cfRule type="expression" dxfId="2905" priority="121">
      <formula>M$9&gt;=20/24</formula>
    </cfRule>
  </conditionalFormatting>
  <conditionalFormatting sqref="O3:P3">
    <cfRule type="iconSet" priority="140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904" priority="142">
      <formula>C$9&gt;=20/24</formula>
    </cfRule>
  </conditionalFormatting>
  <conditionalFormatting sqref="S8">
    <cfRule type="expression" dxfId="2903" priority="129">
      <formula>U$9&gt;=20/24</formula>
    </cfRule>
    <cfRule type="expression" dxfId="2902" priority="130">
      <formula>AND(U$9&gt;=14/24,U$9&lt;20/24)</formula>
    </cfRule>
    <cfRule type="expression" dxfId="2901" priority="131">
      <formula>AND(U$9&gt;=8/24,U$9&lt;14/24)</formula>
    </cfRule>
    <cfRule type="expression" dxfId="2900" priority="132">
      <formula>U$9&lt;8/24</formula>
    </cfRule>
  </conditionalFormatting>
  <conditionalFormatting sqref="T248">
    <cfRule type="expression" dxfId="2899" priority="157">
      <formula>AX$9&lt;8/24</formula>
    </cfRule>
    <cfRule type="expression" dxfId="2898" priority="154">
      <formula>AX$9&gt;=20/24</formula>
    </cfRule>
    <cfRule type="expression" dxfId="2897" priority="155">
      <formula>AND(AX$9&gt;=14/24,AX$9&lt;20/24)</formula>
    </cfRule>
    <cfRule type="expression" dxfId="2896" priority="156">
      <formula>AND(AX$9&gt;=8/24,AX$9&lt;14/24)</formula>
    </cfRule>
  </conditionalFormatting>
  <conditionalFormatting sqref="V3 AB3">
    <cfRule type="iconSet" priority="141">
      <iconSet iconSet="3TrafficLights2" reverse="1">
        <cfvo type="percent" val="0"/>
        <cfvo type="num" val="1"/>
        <cfvo type="num" val="1"/>
      </iconSet>
    </cfRule>
  </conditionalFormatting>
  <conditionalFormatting sqref="W55:AF60">
    <cfRule type="expression" dxfId="2895" priority="38">
      <formula>W$9&gt;=20/24</formula>
    </cfRule>
    <cfRule type="expression" dxfId="2894" priority="41">
      <formula>W$9&lt;8/24</formula>
    </cfRule>
    <cfRule type="expression" dxfId="2893" priority="39">
      <formula>AND(W$9&gt;=14/24,W$9&lt;20/24)</formula>
    </cfRule>
    <cfRule type="expression" dxfId="2892" priority="40">
      <formula>AND(W$9&gt;=8/24,W$9&lt;14/24)</formula>
    </cfRule>
  </conditionalFormatting>
  <conditionalFormatting sqref="AB8">
    <cfRule type="expression" dxfId="2891" priority="125">
      <formula>AD$9&gt;=20/24</formula>
    </cfRule>
    <cfRule type="expression" dxfId="2890" priority="126">
      <formula>AND(AD$9&gt;=14/24,AD$9&lt;20/24)</formula>
    </cfRule>
    <cfRule type="expression" dxfId="2889" priority="127">
      <formula>AND(AD$9&gt;=8/24,AD$9&lt;14/24)</formula>
    </cfRule>
    <cfRule type="expression" dxfId="2888" priority="128">
      <formula>AD$9&lt;8/24</formula>
    </cfRule>
  </conditionalFormatting>
  <conditionalFormatting sqref="AG50">
    <cfRule type="expression" dxfId="2887" priority="112">
      <formula>AG50&gt;$AG50</formula>
    </cfRule>
  </conditionalFormatting>
  <conditionalFormatting sqref="AG89">
    <cfRule type="expression" dxfId="2886" priority="113">
      <formula>AG$9&gt;=20/24</formula>
    </cfRule>
    <cfRule type="expression" dxfId="2885" priority="114">
      <formula>AND(AG$9&gt;=14/24,AG$9&lt;20/24)</formula>
    </cfRule>
    <cfRule type="expression" dxfId="2884" priority="116">
      <formula>AG$9&lt;8/24</formula>
    </cfRule>
    <cfRule type="expression" dxfId="2883" priority="115">
      <formula>AND(AG$9&gt;=8/24,AG$9&lt;14/24)</formula>
    </cfRule>
  </conditionalFormatting>
  <conditionalFormatting sqref="AG248">
    <cfRule type="expression" dxfId="2882" priority="146">
      <formula>B$9&gt;=20/24</formula>
    </cfRule>
    <cfRule type="expression" dxfId="2881" priority="147">
      <formula>AND(B$9&gt;=14/24,B$9&lt;20/24)</formula>
    </cfRule>
    <cfRule type="expression" dxfId="2880" priority="148">
      <formula>AND(B$9&gt;=8/24,B$9&lt;14/24)</formula>
    </cfRule>
    <cfRule type="expression" dxfId="2879" priority="149">
      <formula>B$9&lt;8/24</formula>
    </cfRule>
  </conditionalFormatting>
  <conditionalFormatting sqref="AH248:AX248">
    <cfRule type="expression" dxfId="2878" priority="150">
      <formula>AG$9&gt;=20/24</formula>
    </cfRule>
    <cfRule type="expression" dxfId="2877" priority="151">
      <formula>AND(AG$9&gt;=14/24,AG$9&lt;20/24)</formula>
    </cfRule>
    <cfRule type="expression" dxfId="2876" priority="152">
      <formula>AND(AG$9&gt;=8/24,AG$9&lt;14/24)</formula>
    </cfRule>
    <cfRule type="expression" dxfId="2875" priority="153">
      <formula>AG$9&lt;8/24</formula>
    </cfRule>
  </conditionalFormatting>
  <conditionalFormatting sqref="AL4:AL6">
    <cfRule type="iconSet" priority="135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95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10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94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09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11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93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58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874" priority="159">
      <formula>AJ$9&gt;=20/24</formula>
    </cfRule>
    <cfRule type="expression" dxfId="2873" priority="160">
      <formula>AND(AJ$9&gt;=14/24,AJ$9&lt;20/24)</formula>
    </cfRule>
    <cfRule type="expression" dxfId="2872" priority="161">
      <formula>AND(AJ$9&gt;=8/24,AJ$9&lt;14/24)</formula>
    </cfRule>
    <cfRule type="expression" dxfId="2871" priority="162">
      <formula>AJ$9&lt;8/24</formula>
    </cfRule>
  </conditionalFormatting>
  <conditionalFormatting sqref="AL80:AN80 AL86:AN86">
    <cfRule type="expression" dxfId="2870" priority="100">
      <formula>AL$9&gt;=20/24</formula>
    </cfRule>
    <cfRule type="expression" dxfId="2869" priority="101">
      <formula>AND(AL$9&gt;=14/24,AL$9&lt;20/24)</formula>
    </cfRule>
    <cfRule type="expression" dxfId="2868" priority="102">
      <formula>AND(AL$9&gt;=8/24,AL$9&lt;14/24)</formula>
    </cfRule>
    <cfRule type="expression" dxfId="2867" priority="103">
      <formula>AL$9&lt;8/24</formula>
    </cfRule>
  </conditionalFormatting>
  <conditionalFormatting sqref="AN81:AN84">
    <cfRule type="expression" dxfId="2866" priority="96">
      <formula>AN$9&gt;=20/24</formula>
    </cfRule>
    <cfRule type="expression" dxfId="2865" priority="97">
      <formula>AND(AN$9&gt;=14/24,AN$9&lt;20/24)</formula>
    </cfRule>
    <cfRule type="expression" dxfId="2864" priority="98">
      <formula>AND(AN$9&gt;=8/24,AN$9&lt;14/24)</formula>
    </cfRule>
    <cfRule type="expression" dxfId="2863" priority="99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3E0F-9A10-425E-93B4-91B411EAD28E}">
  <sheetPr codeName="Sheet12"/>
  <dimension ref="A1:CJ281"/>
  <sheetViews>
    <sheetView workbookViewId="0">
      <pane xSplit="1" ySplit="10" topLeftCell="E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S86" sqref="S86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2080/05/10</v>
      </c>
      <c r="C4" s="196"/>
      <c r="D4" s="196"/>
      <c r="E4" s="197" t="str">
        <f ca="1">"2080/"&amp;"05/"&amp;INT(MID(CELL("filename",G6),FIND("]",CELL("filename",G6))+1,200))</f>
        <v>2080/05/10</v>
      </c>
      <c r="F4" s="197"/>
      <c r="G4" s="197"/>
      <c r="H4" s="197" t="str">
        <f ca="1">TEXT(E4,"dddd")</f>
        <v>Friday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12</v>
      </c>
      <c r="C5" s="30">
        <f t="shared" si="0"/>
        <v>12</v>
      </c>
      <c r="D5" s="30">
        <f t="shared" si="0"/>
        <v>12</v>
      </c>
      <c r="E5" s="30">
        <f t="shared" si="0"/>
        <v>12</v>
      </c>
      <c r="F5" s="30">
        <f t="shared" si="0"/>
        <v>12</v>
      </c>
      <c r="G5" s="30">
        <f t="shared" si="0"/>
        <v>12</v>
      </c>
      <c r="H5" s="30">
        <f t="shared" si="0"/>
        <v>12</v>
      </c>
      <c r="I5" s="30">
        <f t="shared" si="0"/>
        <v>12</v>
      </c>
      <c r="J5" s="30">
        <f t="shared" si="0"/>
        <v>12</v>
      </c>
      <c r="K5" s="30">
        <f t="shared" si="0"/>
        <v>12</v>
      </c>
      <c r="L5" s="30">
        <f t="shared" si="0"/>
        <v>12</v>
      </c>
      <c r="M5" s="30">
        <f t="shared" si="0"/>
        <v>12</v>
      </c>
      <c r="N5" s="30">
        <f t="shared" si="0"/>
        <v>12</v>
      </c>
      <c r="O5" s="30">
        <f t="shared" si="0"/>
        <v>12</v>
      </c>
      <c r="P5" s="30">
        <f t="shared" si="0"/>
        <v>12</v>
      </c>
      <c r="Q5" s="30">
        <f t="shared" si="0"/>
        <v>12</v>
      </c>
      <c r="R5" s="30">
        <f t="shared" si="0"/>
        <v>56</v>
      </c>
      <c r="S5" s="30">
        <f t="shared" si="0"/>
        <v>64.599999999999994</v>
      </c>
      <c r="T5" s="30">
        <f t="shared" si="0"/>
        <v>55.2</v>
      </c>
      <c r="U5" s="30">
        <f t="shared" si="0"/>
        <v>36</v>
      </c>
      <c r="V5" s="30">
        <f t="shared" si="0"/>
        <v>47.3</v>
      </c>
      <c r="W5" s="30">
        <f t="shared" si="0"/>
        <v>52</v>
      </c>
      <c r="X5" s="30">
        <f t="shared" si="0"/>
        <v>49.8</v>
      </c>
      <c r="Y5" s="30">
        <f t="shared" si="0"/>
        <v>37.4</v>
      </c>
      <c r="Z5" s="30">
        <f t="shared" si="0"/>
        <v>25.8</v>
      </c>
      <c r="AA5" s="30">
        <f t="shared" si="0"/>
        <v>0</v>
      </c>
      <c r="AB5" s="30">
        <f t="shared" si="0"/>
        <v>54</v>
      </c>
      <c r="AC5" s="30">
        <f t="shared" si="0"/>
        <v>62</v>
      </c>
      <c r="AD5" s="30">
        <f t="shared" si="0"/>
        <v>12</v>
      </c>
      <c r="AE5" s="30">
        <f t="shared" si="0"/>
        <v>12</v>
      </c>
      <c r="AF5" s="30">
        <f>B84</f>
        <v>12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1916MW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Load=1804</v>
      </c>
      <c r="B7" s="35">
        <f t="shared" ref="B7:AF7" si="1">B91</f>
        <v>1857.4399999999998</v>
      </c>
      <c r="C7" s="35">
        <f t="shared" si="1"/>
        <v>1897.4399999999998</v>
      </c>
      <c r="D7" s="35">
        <f t="shared" si="1"/>
        <v>1841.9399999999998</v>
      </c>
      <c r="E7" s="35">
        <f t="shared" si="1"/>
        <v>1826.14</v>
      </c>
      <c r="F7" s="35">
        <f t="shared" si="1"/>
        <v>1803.74</v>
      </c>
      <c r="G7" s="35">
        <f t="shared" si="1"/>
        <v>1816.34</v>
      </c>
      <c r="H7" s="35">
        <f t="shared" si="1"/>
        <v>1845.84</v>
      </c>
      <c r="I7" s="35">
        <f t="shared" si="1"/>
        <v>1890.31</v>
      </c>
      <c r="J7" s="35">
        <f t="shared" si="1"/>
        <v>1901.2</v>
      </c>
      <c r="K7" s="35">
        <f t="shared" si="1"/>
        <v>1897.3999999999999</v>
      </c>
      <c r="L7" s="35">
        <f t="shared" si="1"/>
        <v>1915.5</v>
      </c>
      <c r="M7" s="35">
        <f t="shared" si="1"/>
        <v>1881.04</v>
      </c>
      <c r="N7" s="35">
        <f>N91</f>
        <v>1851.84</v>
      </c>
      <c r="O7" s="35">
        <f t="shared" si="1"/>
        <v>1891.64</v>
      </c>
      <c r="P7" s="35">
        <f t="shared" si="1"/>
        <v>1925.1399999999999</v>
      </c>
      <c r="Q7" s="35">
        <f t="shared" si="1"/>
        <v>1928.94</v>
      </c>
      <c r="R7" s="35">
        <f t="shared" si="1"/>
        <v>1956.6399999999999</v>
      </c>
      <c r="S7" s="35">
        <f t="shared" si="1"/>
        <v>1926.73</v>
      </c>
      <c r="T7" s="35">
        <f t="shared" si="1"/>
        <v>1960.23</v>
      </c>
      <c r="U7" s="35">
        <f t="shared" si="1"/>
        <v>1940.43</v>
      </c>
      <c r="V7" s="35">
        <f t="shared" si="1"/>
        <v>1903.99</v>
      </c>
      <c r="W7" s="35">
        <f t="shared" si="1"/>
        <v>1890.29</v>
      </c>
      <c r="X7" s="35">
        <f t="shared" si="1"/>
        <v>1893.99</v>
      </c>
      <c r="Y7" s="35">
        <f t="shared" si="1"/>
        <v>1891.39</v>
      </c>
      <c r="Z7" s="35">
        <f t="shared" si="1"/>
        <v>1987.3900000000003</v>
      </c>
      <c r="AA7" s="35">
        <f t="shared" si="1"/>
        <v>1952.59</v>
      </c>
      <c r="AB7" s="35">
        <f t="shared" si="1"/>
        <v>1904.5900000000001</v>
      </c>
      <c r="AC7" s="35">
        <f t="shared" si="1"/>
        <v>1958.5900000000001</v>
      </c>
      <c r="AD7" s="35">
        <f t="shared" si="1"/>
        <v>1966.5900000000001</v>
      </c>
      <c r="AE7" s="35">
        <f t="shared" si="1"/>
        <v>1916.5900000000001</v>
      </c>
      <c r="AF7" s="35">
        <f t="shared" si="1"/>
        <v>1872.0900000000001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87</v>
      </c>
      <c r="C11" s="45">
        <v>87</v>
      </c>
      <c r="D11" s="45">
        <v>87</v>
      </c>
      <c r="E11" s="45">
        <v>83.9</v>
      </c>
      <c r="F11" s="45">
        <v>83.9</v>
      </c>
      <c r="G11" s="45">
        <v>83.8</v>
      </c>
      <c r="H11" s="45">
        <v>83.8</v>
      </c>
      <c r="I11" s="45">
        <v>86</v>
      </c>
      <c r="J11" s="45">
        <v>86</v>
      </c>
      <c r="K11" s="45">
        <v>86</v>
      </c>
      <c r="L11" s="45">
        <v>90</v>
      </c>
      <c r="M11" s="45">
        <v>90.1</v>
      </c>
      <c r="N11" s="45">
        <v>90.1</v>
      </c>
      <c r="O11" s="45">
        <v>90.1</v>
      </c>
      <c r="P11" s="45">
        <v>90.1</v>
      </c>
      <c r="Q11" s="45">
        <v>86</v>
      </c>
      <c r="R11" s="45">
        <v>86</v>
      </c>
      <c r="S11" s="45">
        <v>89</v>
      </c>
      <c r="T11" s="45">
        <v>89</v>
      </c>
      <c r="U11" s="45">
        <v>89.4</v>
      </c>
      <c r="V11" s="45">
        <v>89.85</v>
      </c>
      <c r="W11" s="45">
        <v>89.85</v>
      </c>
      <c r="X11" s="45">
        <v>89.85</v>
      </c>
      <c r="Y11" s="45">
        <v>89.85</v>
      </c>
      <c r="Z11" s="45">
        <v>89.85</v>
      </c>
      <c r="AA11" s="45">
        <v>89.85</v>
      </c>
      <c r="AB11" s="45">
        <v>89.85</v>
      </c>
      <c r="AC11" s="45">
        <v>89.85</v>
      </c>
      <c r="AD11" s="45">
        <v>89.85</v>
      </c>
      <c r="AE11" s="45">
        <v>89.85</v>
      </c>
      <c r="AF11" s="45">
        <v>89.85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83.8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50</v>
      </c>
      <c r="E13" s="45">
        <v>51</v>
      </c>
      <c r="F13" s="45">
        <v>51</v>
      </c>
      <c r="G13" s="45">
        <v>51</v>
      </c>
      <c r="H13" s="45">
        <v>51</v>
      </c>
      <c r="I13" s="45">
        <v>54.4</v>
      </c>
      <c r="J13" s="45">
        <v>54.4</v>
      </c>
      <c r="K13" s="45">
        <v>40</v>
      </c>
      <c r="L13" s="45">
        <v>40</v>
      </c>
      <c r="M13" s="45">
        <v>27.8</v>
      </c>
      <c r="N13" s="45">
        <v>0</v>
      </c>
      <c r="O13" s="45">
        <v>0</v>
      </c>
      <c r="P13" s="45">
        <v>52.6</v>
      </c>
      <c r="Q13" s="45">
        <v>54.9</v>
      </c>
      <c r="R13" s="45">
        <v>54.9</v>
      </c>
      <c r="S13" s="45">
        <v>54.99</v>
      </c>
      <c r="T13" s="45">
        <v>54.99</v>
      </c>
      <c r="U13" s="45">
        <v>54.99</v>
      </c>
      <c r="V13" s="45">
        <v>55</v>
      </c>
      <c r="W13" s="45">
        <v>55</v>
      </c>
      <c r="X13" s="45">
        <v>55</v>
      </c>
      <c r="Y13" s="45">
        <v>55</v>
      </c>
      <c r="Z13" s="45">
        <v>55</v>
      </c>
      <c r="AA13" s="45">
        <v>55</v>
      </c>
      <c r="AB13" s="45">
        <v>55</v>
      </c>
      <c r="AC13" s="45">
        <v>55</v>
      </c>
      <c r="AD13" s="45">
        <v>55</v>
      </c>
      <c r="AE13" s="45">
        <v>55</v>
      </c>
      <c r="AF13" s="45">
        <v>55</v>
      </c>
      <c r="AG13" s="46">
        <v>52.4</v>
      </c>
      <c r="AH13" s="47">
        <f t="shared" si="2"/>
        <v>55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50.6</v>
      </c>
      <c r="F14" s="58">
        <v>50.6</v>
      </c>
      <c r="G14" s="58">
        <v>50.4</v>
      </c>
      <c r="H14" s="58">
        <v>50.4</v>
      </c>
      <c r="I14" s="58">
        <v>50.7</v>
      </c>
      <c r="J14" s="58">
        <v>50.7</v>
      </c>
      <c r="K14" s="58">
        <v>50.7</v>
      </c>
      <c r="L14" s="58">
        <v>50.5</v>
      </c>
      <c r="M14" s="58">
        <v>50.3</v>
      </c>
      <c r="N14" s="58">
        <v>50.3</v>
      </c>
      <c r="O14" s="58">
        <v>50.3</v>
      </c>
      <c r="P14" s="58">
        <v>50.3</v>
      </c>
      <c r="Q14" s="58">
        <v>50.5</v>
      </c>
      <c r="R14" s="58">
        <v>50.6</v>
      </c>
      <c r="S14" s="58">
        <v>50.5</v>
      </c>
      <c r="T14" s="58">
        <v>50.5</v>
      </c>
      <c r="U14" s="58">
        <v>50.5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50.7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46</v>
      </c>
      <c r="M15" s="45">
        <v>36.9</v>
      </c>
      <c r="N15" s="45">
        <v>36.9</v>
      </c>
      <c r="O15" s="45">
        <v>36.9</v>
      </c>
      <c r="P15" s="45">
        <v>36.9</v>
      </c>
      <c r="Q15" s="45">
        <v>36.9</v>
      </c>
      <c r="R15" s="45">
        <v>46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40</v>
      </c>
      <c r="C16" s="45">
        <v>42</v>
      </c>
      <c r="D16" s="45">
        <v>42</v>
      </c>
      <c r="E16" s="45">
        <v>42</v>
      </c>
      <c r="F16" s="45">
        <v>42</v>
      </c>
      <c r="G16" s="45">
        <v>42</v>
      </c>
      <c r="H16" s="45">
        <v>42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12</v>
      </c>
      <c r="T16" s="45">
        <v>12</v>
      </c>
      <c r="U16" s="45">
        <v>12</v>
      </c>
      <c r="V16" s="45">
        <v>12</v>
      </c>
      <c r="W16" s="45">
        <v>12</v>
      </c>
      <c r="X16" s="45">
        <v>12</v>
      </c>
      <c r="Y16" s="45">
        <v>12</v>
      </c>
      <c r="Z16" s="45">
        <v>12</v>
      </c>
      <c r="AA16" s="45">
        <v>12</v>
      </c>
      <c r="AB16" s="45">
        <v>12</v>
      </c>
      <c r="AC16" s="45">
        <v>12</v>
      </c>
      <c r="AD16" s="45">
        <v>12</v>
      </c>
      <c r="AE16" s="45">
        <v>12</v>
      </c>
      <c r="AF16" s="45">
        <v>44</v>
      </c>
      <c r="AG16" s="49">
        <v>44</v>
      </c>
      <c r="AH16" s="47">
        <f>MAX(B16:AG16)</f>
        <v>44</v>
      </c>
      <c r="AI16" s="48">
        <f>MIN(B16:AG16)</f>
        <v>12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27</v>
      </c>
      <c r="F17" s="45">
        <v>27</v>
      </c>
      <c r="G17" s="45">
        <v>23</v>
      </c>
      <c r="H17" s="45">
        <v>23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27</v>
      </c>
      <c r="S17" s="45">
        <v>0</v>
      </c>
      <c r="T17" s="45">
        <v>7</v>
      </c>
      <c r="U17" s="45">
        <v>7</v>
      </c>
      <c r="V17" s="45">
        <v>7</v>
      </c>
      <c r="W17" s="45">
        <v>7</v>
      </c>
      <c r="X17" s="45">
        <v>7</v>
      </c>
      <c r="Y17" s="45">
        <v>7</v>
      </c>
      <c r="Z17" s="45">
        <v>21</v>
      </c>
      <c r="AA17" s="45">
        <v>21</v>
      </c>
      <c r="AB17" s="45">
        <v>21</v>
      </c>
      <c r="AC17" s="45">
        <v>21</v>
      </c>
      <c r="AD17" s="45">
        <v>21</v>
      </c>
      <c r="AE17" s="45">
        <v>21</v>
      </c>
      <c r="AF17" s="45">
        <v>28</v>
      </c>
      <c r="AG17" s="49">
        <v>42</v>
      </c>
      <c r="AH17" s="47">
        <f t="shared" si="2"/>
        <v>29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9">
        <v>38.46</v>
      </c>
      <c r="AH18" s="47">
        <f t="shared" si="2"/>
        <v>0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5</v>
      </c>
      <c r="S20" s="45">
        <v>5</v>
      </c>
      <c r="T20" s="45">
        <v>15</v>
      </c>
      <c r="U20" s="45">
        <v>15</v>
      </c>
      <c r="V20" s="45">
        <v>10</v>
      </c>
      <c r="W20" s="45">
        <v>10</v>
      </c>
      <c r="X20" s="45">
        <v>10</v>
      </c>
      <c r="Y20" s="45">
        <v>10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32.9</v>
      </c>
      <c r="C21" s="45">
        <v>32.9</v>
      </c>
      <c r="D21" s="45">
        <v>32.9</v>
      </c>
      <c r="E21" s="45">
        <v>26</v>
      </c>
      <c r="F21" s="45">
        <v>21</v>
      </c>
      <c r="G21" s="45">
        <v>20.9</v>
      </c>
      <c r="H21" s="45">
        <v>20.9</v>
      </c>
      <c r="I21" s="45">
        <v>25</v>
      </c>
      <c r="J21" s="45">
        <v>25</v>
      </c>
      <c r="K21" s="45">
        <v>25</v>
      </c>
      <c r="L21" s="45">
        <v>25</v>
      </c>
      <c r="M21" s="45">
        <v>24.7</v>
      </c>
      <c r="N21" s="45">
        <v>24.7</v>
      </c>
      <c r="O21" s="45">
        <v>26.9</v>
      </c>
      <c r="P21" s="45">
        <v>26.9</v>
      </c>
      <c r="Q21" s="45">
        <v>26.9</v>
      </c>
      <c r="R21" s="45">
        <v>26.9</v>
      </c>
      <c r="S21" s="45">
        <v>26.3</v>
      </c>
      <c r="T21" s="45">
        <v>26.3</v>
      </c>
      <c r="U21" s="45">
        <v>26.3</v>
      </c>
      <c r="V21" s="45">
        <v>33.200000000000003</v>
      </c>
      <c r="W21" s="45">
        <v>33.200000000000003</v>
      </c>
      <c r="X21" s="45">
        <v>33.200000000000003</v>
      </c>
      <c r="Y21" s="45">
        <v>33.200000000000003</v>
      </c>
      <c r="Z21" s="45">
        <v>33.200000000000003</v>
      </c>
      <c r="AA21" s="45">
        <v>33.200000000000003</v>
      </c>
      <c r="AB21" s="45">
        <v>33.200000000000003</v>
      </c>
      <c r="AC21" s="45">
        <v>33.200000000000003</v>
      </c>
      <c r="AD21" s="45">
        <v>33.200000000000003</v>
      </c>
      <c r="AE21" s="45">
        <v>33.200000000000003</v>
      </c>
      <c r="AF21" s="45">
        <v>33.200000000000003</v>
      </c>
      <c r="AG21" s="49">
        <v>24.2</v>
      </c>
      <c r="AH21" s="47">
        <f t="shared" si="2"/>
        <v>33.200000000000003</v>
      </c>
      <c r="AI21" s="48">
        <f t="shared" si="3"/>
        <v>20.9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15.3</v>
      </c>
      <c r="C22" s="45">
        <v>15.3</v>
      </c>
      <c r="D22" s="45">
        <v>15.3</v>
      </c>
      <c r="E22" s="45">
        <v>15.3</v>
      </c>
      <c r="F22" s="45">
        <v>15.3</v>
      </c>
      <c r="G22" s="45">
        <v>15.3</v>
      </c>
      <c r="H22" s="45">
        <v>15.3</v>
      </c>
      <c r="I22" s="45">
        <v>15.3</v>
      </c>
      <c r="J22" s="45">
        <v>15.3</v>
      </c>
      <c r="K22" s="45">
        <v>15.3</v>
      </c>
      <c r="L22" s="45">
        <v>15.3</v>
      </c>
      <c r="M22" s="45">
        <v>15.3</v>
      </c>
      <c r="N22" s="45">
        <v>15.3</v>
      </c>
      <c r="O22" s="45">
        <v>15.3</v>
      </c>
      <c r="P22" s="45">
        <v>0</v>
      </c>
      <c r="Q22" s="45">
        <v>0</v>
      </c>
      <c r="R22" s="45">
        <v>0</v>
      </c>
      <c r="S22" s="45">
        <v>0</v>
      </c>
      <c r="T22" s="45">
        <v>0</v>
      </c>
      <c r="U22" s="45">
        <v>0</v>
      </c>
      <c r="V22" s="45">
        <v>0</v>
      </c>
      <c r="W22" s="45">
        <v>0</v>
      </c>
      <c r="X22" s="45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0</v>
      </c>
      <c r="AG22" s="49">
        <v>28</v>
      </c>
      <c r="AH22" s="47">
        <f t="shared" si="2"/>
        <v>15.3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0</v>
      </c>
      <c r="AA23" s="45">
        <v>0</v>
      </c>
      <c r="AB23" s="45">
        <v>0</v>
      </c>
      <c r="AC23" s="45">
        <v>0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25.4</v>
      </c>
      <c r="C24" s="45">
        <v>25.4</v>
      </c>
      <c r="D24" s="45">
        <v>25.4</v>
      </c>
      <c r="E24" s="45">
        <v>0</v>
      </c>
      <c r="F24" s="45">
        <v>24.2</v>
      </c>
      <c r="G24" s="45">
        <v>21</v>
      </c>
      <c r="H24" s="45">
        <v>21</v>
      </c>
      <c r="I24" s="45">
        <v>23.6</v>
      </c>
      <c r="J24" s="45">
        <v>23.6</v>
      </c>
      <c r="K24" s="45">
        <v>23.6</v>
      </c>
      <c r="L24" s="45">
        <v>23.6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10</v>
      </c>
      <c r="T24" s="45">
        <v>10</v>
      </c>
      <c r="U24" s="45">
        <v>10</v>
      </c>
      <c r="V24" s="45">
        <v>10</v>
      </c>
      <c r="W24" s="45">
        <v>10</v>
      </c>
      <c r="X24" s="45">
        <v>10</v>
      </c>
      <c r="Y24" s="45">
        <v>10</v>
      </c>
      <c r="Z24" s="45">
        <v>10</v>
      </c>
      <c r="AA24" s="45">
        <v>10</v>
      </c>
      <c r="AB24" s="45">
        <v>10</v>
      </c>
      <c r="AC24" s="45">
        <v>10</v>
      </c>
      <c r="AD24" s="45">
        <v>10</v>
      </c>
      <c r="AE24" s="45">
        <v>10</v>
      </c>
      <c r="AF24" s="45">
        <v>10</v>
      </c>
      <c r="AG24" s="49">
        <v>25</v>
      </c>
      <c r="AH24" s="47">
        <f t="shared" si="2"/>
        <v>25.4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23</v>
      </c>
      <c r="C26" s="45">
        <v>23</v>
      </c>
      <c r="D26" s="45">
        <v>23</v>
      </c>
      <c r="E26" s="45">
        <v>23</v>
      </c>
      <c r="F26" s="45">
        <v>23</v>
      </c>
      <c r="G26" s="45">
        <v>23</v>
      </c>
      <c r="H26" s="45">
        <v>23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23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4.5</v>
      </c>
      <c r="S27" s="45">
        <v>4.5</v>
      </c>
      <c r="T27" s="45">
        <v>8</v>
      </c>
      <c r="U27" s="45">
        <v>8</v>
      </c>
      <c r="V27" s="45">
        <v>8</v>
      </c>
      <c r="W27" s="45">
        <v>8</v>
      </c>
      <c r="X27" s="45">
        <v>8</v>
      </c>
      <c r="Y27" s="45">
        <v>8</v>
      </c>
      <c r="Z27" s="45">
        <v>8</v>
      </c>
      <c r="AA27" s="45">
        <v>8</v>
      </c>
      <c r="AB27" s="45">
        <v>8</v>
      </c>
      <c r="AC27" s="45">
        <v>8</v>
      </c>
      <c r="AD27" s="45">
        <v>8</v>
      </c>
      <c r="AE27" s="45">
        <v>8</v>
      </c>
      <c r="AF27" s="45">
        <v>0</v>
      </c>
      <c r="AG27" s="49">
        <v>25</v>
      </c>
      <c r="AH27" s="47">
        <f t="shared" si="2"/>
        <v>8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24.96</v>
      </c>
      <c r="J28" s="45">
        <v>24.96</v>
      </c>
      <c r="K28" s="45">
        <v>24.96</v>
      </c>
      <c r="L28" s="45">
        <v>24.96</v>
      </c>
      <c r="M28" s="45">
        <v>14.7</v>
      </c>
      <c r="N28" s="45">
        <v>14.7</v>
      </c>
      <c r="O28" s="45">
        <v>14.7</v>
      </c>
      <c r="P28" s="45">
        <v>14.7</v>
      </c>
      <c r="Q28" s="45">
        <v>14.7</v>
      </c>
      <c r="R28" s="45">
        <v>14.7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24.96</v>
      </c>
      <c r="AI28" s="48">
        <f t="shared" si="3"/>
        <v>14.7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5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5</v>
      </c>
      <c r="AA33" s="45">
        <v>5</v>
      </c>
      <c r="AB33" s="45">
        <v>5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4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5</v>
      </c>
      <c r="AA34" s="45">
        <v>5</v>
      </c>
      <c r="AB34" s="45">
        <v>5</v>
      </c>
      <c r="AC34" s="45">
        <v>5</v>
      </c>
      <c r="AD34" s="45">
        <v>5</v>
      </c>
      <c r="AE34" s="45">
        <v>5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0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0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5</v>
      </c>
      <c r="V38" s="45">
        <v>5</v>
      </c>
      <c r="W38" s="45">
        <v>5</v>
      </c>
      <c r="X38" s="45">
        <v>5</v>
      </c>
      <c r="Y38" s="45">
        <v>5</v>
      </c>
      <c r="Z38" s="45">
        <v>5</v>
      </c>
      <c r="AA38" s="45">
        <v>5</v>
      </c>
      <c r="AB38" s="45">
        <v>5</v>
      </c>
      <c r="AC38" s="45">
        <v>5</v>
      </c>
      <c r="AD38" s="45">
        <v>5</v>
      </c>
      <c r="AE38" s="45">
        <v>5</v>
      </c>
      <c r="AF38" s="45">
        <v>5</v>
      </c>
      <c r="AG38" s="49">
        <v>13</v>
      </c>
      <c r="AH38" s="47">
        <f t="shared" si="2"/>
        <v>12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2</v>
      </c>
      <c r="S39" s="45">
        <v>2</v>
      </c>
      <c r="T39" s="45">
        <v>2</v>
      </c>
      <c r="U39" s="45">
        <v>2</v>
      </c>
      <c r="V39" s="45">
        <v>4</v>
      </c>
      <c r="W39" s="45">
        <v>4</v>
      </c>
      <c r="X39" s="45">
        <v>4</v>
      </c>
      <c r="Y39" s="45">
        <v>4</v>
      </c>
      <c r="Z39" s="45">
        <v>4</v>
      </c>
      <c r="AA39" s="45">
        <v>8</v>
      </c>
      <c r="AB39" s="45">
        <v>8</v>
      </c>
      <c r="AC39" s="45">
        <v>8</v>
      </c>
      <c r="AD39" s="45">
        <v>8</v>
      </c>
      <c r="AE39" s="45">
        <v>8</v>
      </c>
      <c r="AF39" s="45">
        <v>0</v>
      </c>
      <c r="AG39" s="49">
        <v>12</v>
      </c>
      <c r="AH39" s="47">
        <f t="shared" si="2"/>
        <v>8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0</v>
      </c>
      <c r="F43" s="45">
        <v>10</v>
      </c>
      <c r="G43" s="45">
        <v>10</v>
      </c>
      <c r="H43" s="45">
        <v>10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5</v>
      </c>
      <c r="W43" s="45">
        <v>5</v>
      </c>
      <c r="X43" s="45">
        <v>5</v>
      </c>
      <c r="Y43" s="45">
        <v>5</v>
      </c>
      <c r="Z43" s="45">
        <v>5</v>
      </c>
      <c r="AA43" s="45">
        <v>5</v>
      </c>
      <c r="AB43" s="45">
        <v>5</v>
      </c>
      <c r="AC43" s="45">
        <v>5</v>
      </c>
      <c r="AD43" s="45">
        <v>5</v>
      </c>
      <c r="AE43" s="45">
        <v>5</v>
      </c>
      <c r="AF43" s="45">
        <v>5</v>
      </c>
      <c r="AG43" s="51">
        <v>11.88</v>
      </c>
      <c r="AH43" s="47">
        <f t="shared" si="2"/>
        <v>12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0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5</v>
      </c>
      <c r="W45" s="45">
        <v>5</v>
      </c>
      <c r="X45" s="45">
        <v>5</v>
      </c>
      <c r="Y45" s="45">
        <v>5</v>
      </c>
      <c r="Z45" s="45">
        <v>5</v>
      </c>
      <c r="AA45" s="45">
        <v>5</v>
      </c>
      <c r="AB45" s="45">
        <v>5</v>
      </c>
      <c r="AC45" s="45">
        <v>5</v>
      </c>
      <c r="AD45" s="45">
        <v>5</v>
      </c>
      <c r="AE45" s="45">
        <v>5</v>
      </c>
      <c r="AF45" s="45">
        <v>5</v>
      </c>
      <c r="AG45" s="54">
        <v>10</v>
      </c>
      <c r="AH45" s="47">
        <f t="shared" si="2"/>
        <v>10</v>
      </c>
      <c r="AI45" s="48">
        <f t="shared" si="3"/>
        <v>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54">
        <v>10</v>
      </c>
      <c r="AH46" s="47">
        <f t="shared" si="2"/>
        <v>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v>98</v>
      </c>
      <c r="C49" s="56">
        <v>98</v>
      </c>
      <c r="D49" s="56">
        <v>98</v>
      </c>
      <c r="E49" s="58">
        <v>99</v>
      </c>
      <c r="F49" s="58">
        <v>99</v>
      </c>
      <c r="G49" s="58">
        <v>106</v>
      </c>
      <c r="H49" s="58">
        <v>106</v>
      </c>
      <c r="I49" s="58">
        <v>106</v>
      </c>
      <c r="J49" s="58">
        <v>106</v>
      </c>
      <c r="K49" s="58">
        <v>103</v>
      </c>
      <c r="L49" s="58">
        <v>103</v>
      </c>
      <c r="M49" s="58">
        <f>78.7+27.5</f>
        <v>106.2</v>
      </c>
      <c r="N49" s="58">
        <f>26.6+73.7</f>
        <v>100.30000000000001</v>
      </c>
      <c r="O49" s="58">
        <f>84.5+15</f>
        <v>99.5</v>
      </c>
      <c r="P49" s="58">
        <f>93.1+16.9</f>
        <v>110</v>
      </c>
      <c r="Q49" s="58">
        <f>88.5+10.2</f>
        <v>98.7</v>
      </c>
      <c r="R49" s="58">
        <f>94.1+16.8</f>
        <v>110.89999999999999</v>
      </c>
      <c r="S49" s="58">
        <f>94.1+16.8</f>
        <v>110.89999999999999</v>
      </c>
      <c r="T49" s="58">
        <f>94.1+16.8</f>
        <v>110.89999999999999</v>
      </c>
      <c r="U49" s="58">
        <f>94.1+16.8</f>
        <v>110.89999999999999</v>
      </c>
      <c r="V49" s="58">
        <v>111</v>
      </c>
      <c r="W49" s="58">
        <v>111</v>
      </c>
      <c r="X49" s="58">
        <v>100</v>
      </c>
      <c r="Y49" s="58">
        <v>100</v>
      </c>
      <c r="Z49" s="58">
        <v>100</v>
      </c>
      <c r="AA49" s="56">
        <v>100</v>
      </c>
      <c r="AB49" s="56">
        <v>100</v>
      </c>
      <c r="AC49" s="56">
        <v>100</v>
      </c>
      <c r="AD49" s="56">
        <v>100</v>
      </c>
      <c r="AE49" s="56">
        <v>100</v>
      </c>
      <c r="AF49" s="56">
        <v>100</v>
      </c>
      <c r="AG49" s="54">
        <v>240</v>
      </c>
      <c r="AH49" s="47">
        <f t="shared" si="2"/>
        <v>111</v>
      </c>
      <c r="AI49" s="48">
        <f t="shared" si="3"/>
        <v>98</v>
      </c>
      <c r="AK49" s="50"/>
    </row>
    <row r="50" spans="1:41" ht="15.75" thickBot="1" x14ac:dyDescent="0.3">
      <c r="A50" s="59" t="s">
        <v>58</v>
      </c>
      <c r="B50" s="60">
        <v>953.89999999999986</v>
      </c>
      <c r="C50" s="60">
        <f t="shared" ref="C50:AE50" si="4">SUM(C11:C48)</f>
        <v>993.89999999999986</v>
      </c>
      <c r="D50" s="60">
        <f t="shared" si="4"/>
        <v>979.39999999999986</v>
      </c>
      <c r="E50" s="60">
        <f t="shared" si="4"/>
        <v>920.2</v>
      </c>
      <c r="F50" s="60">
        <f t="shared" si="4"/>
        <v>961.4</v>
      </c>
      <c r="G50" s="60">
        <f t="shared" si="4"/>
        <v>953.8</v>
      </c>
      <c r="H50" s="60">
        <f t="shared" si="4"/>
        <v>953.8</v>
      </c>
      <c r="I50" s="60">
        <f t="shared" si="4"/>
        <v>978.46</v>
      </c>
      <c r="J50" s="60">
        <f t="shared" si="4"/>
        <v>978.46</v>
      </c>
      <c r="K50" s="60">
        <f t="shared" si="4"/>
        <v>964.06</v>
      </c>
      <c r="L50" s="60">
        <f t="shared" si="4"/>
        <v>977.86</v>
      </c>
      <c r="M50" s="60">
        <f t="shared" si="4"/>
        <v>946.8</v>
      </c>
      <c r="N50" s="60">
        <f t="shared" si="4"/>
        <v>919</v>
      </c>
      <c r="O50" s="60">
        <f t="shared" si="4"/>
        <v>921.2</v>
      </c>
      <c r="P50" s="60">
        <f t="shared" si="4"/>
        <v>958.5</v>
      </c>
      <c r="Q50" s="60">
        <f t="shared" si="4"/>
        <v>956.9</v>
      </c>
      <c r="R50" s="60">
        <f t="shared" si="4"/>
        <v>984.59999999999991</v>
      </c>
      <c r="S50" s="60">
        <f t="shared" si="4"/>
        <v>914.59</v>
      </c>
      <c r="T50" s="60">
        <f t="shared" si="4"/>
        <v>948.09</v>
      </c>
      <c r="U50" s="60">
        <f t="shared" si="4"/>
        <v>941.49</v>
      </c>
      <c r="V50" s="60">
        <f t="shared" si="4"/>
        <v>933.95</v>
      </c>
      <c r="W50" s="60">
        <f t="shared" si="4"/>
        <v>933.95</v>
      </c>
      <c r="X50" s="60">
        <f t="shared" si="4"/>
        <v>933.95</v>
      </c>
      <c r="Y50" s="60">
        <f t="shared" si="4"/>
        <v>933.95</v>
      </c>
      <c r="Z50" s="60">
        <f t="shared" si="4"/>
        <v>977.95</v>
      </c>
      <c r="AA50" s="60">
        <f t="shared" si="4"/>
        <v>981.95</v>
      </c>
      <c r="AB50" s="60">
        <f t="shared" si="4"/>
        <v>981.95</v>
      </c>
      <c r="AC50" s="60">
        <f>SUM(AC11:AC48)</f>
        <v>981.95</v>
      </c>
      <c r="AD50" s="60">
        <f t="shared" si="4"/>
        <v>981.95</v>
      </c>
      <c r="AE50" s="60">
        <f t="shared" si="4"/>
        <v>981.95</v>
      </c>
      <c r="AF50" s="60">
        <v>981.95</v>
      </c>
      <c r="AG50" s="61">
        <f>SUM(AG13:AG48)</f>
        <v>922.14</v>
      </c>
      <c r="AH50" s="47">
        <f t="shared" si="2"/>
        <v>993.89999999999986</v>
      </c>
      <c r="AI50" s="48">
        <f t="shared" si="3"/>
        <v>914.59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446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446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60</v>
      </c>
      <c r="J52" s="64">
        <v>60</v>
      </c>
      <c r="K52" s="64">
        <v>60</v>
      </c>
      <c r="L52" s="64">
        <v>60</v>
      </c>
      <c r="M52" s="64">
        <v>55</v>
      </c>
      <c r="N52" s="64">
        <v>55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20</v>
      </c>
      <c r="E53" s="66">
        <v>20</v>
      </c>
      <c r="F53" s="66">
        <v>20</v>
      </c>
      <c r="G53" s="66">
        <v>20</v>
      </c>
      <c r="H53" s="66">
        <v>20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20</v>
      </c>
      <c r="AK53" s="50"/>
    </row>
    <row r="54" spans="1:41" ht="15.75" thickBot="1" x14ac:dyDescent="0.3">
      <c r="A54" s="68" t="s">
        <v>62</v>
      </c>
      <c r="B54" s="60">
        <v>538</v>
      </c>
      <c r="C54" s="60">
        <f t="shared" ref="C54:AG54" si="5">SUM(C51:C53)</f>
        <v>538</v>
      </c>
      <c r="D54" s="60">
        <f t="shared" si="5"/>
        <v>516</v>
      </c>
      <c r="E54" s="60">
        <f t="shared" si="5"/>
        <v>526</v>
      </c>
      <c r="F54" s="60">
        <f t="shared" si="5"/>
        <v>526</v>
      </c>
      <c r="G54" s="60">
        <f t="shared" si="5"/>
        <v>526</v>
      </c>
      <c r="H54" s="60">
        <f t="shared" si="5"/>
        <v>526</v>
      </c>
      <c r="I54" s="60">
        <f t="shared" si="5"/>
        <v>538</v>
      </c>
      <c r="J54" s="60">
        <f t="shared" si="5"/>
        <v>538</v>
      </c>
      <c r="K54" s="60">
        <f t="shared" si="5"/>
        <v>538</v>
      </c>
      <c r="L54" s="60">
        <f t="shared" si="5"/>
        <v>538</v>
      </c>
      <c r="M54" s="60">
        <f t="shared" si="5"/>
        <v>533</v>
      </c>
      <c r="N54" s="60">
        <f t="shared" si="5"/>
        <v>533</v>
      </c>
      <c r="O54" s="60">
        <f t="shared" si="5"/>
        <v>538</v>
      </c>
      <c r="P54" s="60">
        <f t="shared" si="5"/>
        <v>538</v>
      </c>
      <c r="Q54" s="60">
        <f t="shared" si="5"/>
        <v>538</v>
      </c>
      <c r="R54" s="60">
        <f t="shared" si="5"/>
        <v>538</v>
      </c>
      <c r="S54" s="60">
        <f t="shared" si="5"/>
        <v>538</v>
      </c>
      <c r="T54" s="60">
        <f t="shared" si="5"/>
        <v>538</v>
      </c>
      <c r="U54" s="60">
        <f t="shared" si="5"/>
        <v>538</v>
      </c>
      <c r="V54" s="60">
        <f t="shared" si="5"/>
        <v>538</v>
      </c>
      <c r="W54" s="60">
        <f t="shared" si="5"/>
        <v>538</v>
      </c>
      <c r="X54" s="60">
        <f t="shared" si="5"/>
        <v>538</v>
      </c>
      <c r="Y54" s="60">
        <f t="shared" si="5"/>
        <v>538</v>
      </c>
      <c r="Z54" s="60">
        <f t="shared" si="5"/>
        <v>538</v>
      </c>
      <c r="AA54" s="60">
        <f t="shared" si="5"/>
        <v>538</v>
      </c>
      <c r="AB54" s="60">
        <f t="shared" si="5"/>
        <v>538</v>
      </c>
      <c r="AC54" s="60">
        <f>SUM(AC51:AC53)</f>
        <v>538</v>
      </c>
      <c r="AD54" s="60">
        <f t="shared" si="5"/>
        <v>538</v>
      </c>
      <c r="AE54" s="60">
        <f t="shared" si="5"/>
        <v>538</v>
      </c>
      <c r="AF54" s="60">
        <v>538</v>
      </c>
      <c r="AG54" s="61">
        <f t="shared" si="5"/>
        <v>538.1</v>
      </c>
      <c r="AH54" s="47">
        <f t="shared" si="2"/>
        <v>538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111</v>
      </c>
      <c r="C55" s="45">
        <v>111</v>
      </c>
      <c r="D55" s="45">
        <v>100</v>
      </c>
      <c r="E55" s="45">
        <v>126</v>
      </c>
      <c r="F55" s="45">
        <v>93.7</v>
      </c>
      <c r="G55" s="45">
        <v>93.4</v>
      </c>
      <c r="H55" s="45">
        <v>113.3</v>
      </c>
      <c r="I55" s="45">
        <v>113.41</v>
      </c>
      <c r="J55" s="45">
        <v>133</v>
      </c>
      <c r="K55" s="45">
        <v>132.9</v>
      </c>
      <c r="L55" s="45">
        <v>133</v>
      </c>
      <c r="M55" s="45">
        <v>125.9</v>
      </c>
      <c r="N55" s="45">
        <v>126.3</v>
      </c>
      <c r="O55" s="45">
        <v>132.4</v>
      </c>
      <c r="P55" s="45">
        <v>132.4</v>
      </c>
      <c r="Q55" s="45">
        <v>132.6</v>
      </c>
      <c r="R55" s="45">
        <v>132.6</v>
      </c>
      <c r="S55" s="45">
        <v>133.19999999999999</v>
      </c>
      <c r="T55" s="45">
        <v>133.19999999999999</v>
      </c>
      <c r="U55" s="45">
        <v>133.19999999999999</v>
      </c>
      <c r="V55" s="45">
        <v>133.5</v>
      </c>
      <c r="W55" s="45">
        <v>133.5</v>
      </c>
      <c r="X55" s="45">
        <v>133.5</v>
      </c>
      <c r="Y55" s="45">
        <v>133.5</v>
      </c>
      <c r="Z55" s="45">
        <v>133.5</v>
      </c>
      <c r="AA55" s="45">
        <v>133.5</v>
      </c>
      <c r="AB55" s="45">
        <v>133.5</v>
      </c>
      <c r="AC55" s="45">
        <v>133.5</v>
      </c>
      <c r="AD55" s="45">
        <v>133.5</v>
      </c>
      <c r="AE55" s="45">
        <v>133.5</v>
      </c>
      <c r="AF55" s="45">
        <v>121</v>
      </c>
      <c r="AG55" s="51">
        <v>144</v>
      </c>
      <c r="AH55" s="47">
        <f t="shared" si="2"/>
        <v>133.5</v>
      </c>
      <c r="AI55" s="48">
        <f t="shared" si="3"/>
        <v>93.4</v>
      </c>
      <c r="AK55" s="50"/>
    </row>
    <row r="56" spans="1:41" x14ac:dyDescent="0.25">
      <c r="A56" s="53" t="s">
        <v>64</v>
      </c>
      <c r="B56" s="64">
        <v>56</v>
      </c>
      <c r="C56" s="64">
        <v>56</v>
      </c>
      <c r="D56" s="64">
        <v>56</v>
      </c>
      <c r="E56" s="64">
        <v>55</v>
      </c>
      <c r="F56" s="64">
        <v>44</v>
      </c>
      <c r="G56" s="64">
        <v>44.3</v>
      </c>
      <c r="H56" s="64">
        <v>50.4</v>
      </c>
      <c r="I56" s="64">
        <v>58.8</v>
      </c>
      <c r="J56" s="64">
        <v>59.5</v>
      </c>
      <c r="K56" s="64">
        <v>65</v>
      </c>
      <c r="L56" s="64">
        <v>69</v>
      </c>
      <c r="M56" s="64">
        <v>53.6</v>
      </c>
      <c r="N56" s="64">
        <v>60.6</v>
      </c>
      <c r="O56" s="64">
        <v>69.8</v>
      </c>
      <c r="P56" s="64">
        <v>69.8</v>
      </c>
      <c r="Q56" s="64">
        <v>70.099999999999994</v>
      </c>
      <c r="R56" s="64">
        <v>70.099999999999994</v>
      </c>
      <c r="S56" s="45">
        <v>70.2</v>
      </c>
      <c r="T56" s="45">
        <v>70.2</v>
      </c>
      <c r="U56" s="45">
        <v>70.2</v>
      </c>
      <c r="V56" s="45">
        <v>70.2</v>
      </c>
      <c r="W56" s="45">
        <v>70.2</v>
      </c>
      <c r="X56" s="45">
        <v>70.2</v>
      </c>
      <c r="Y56" s="45">
        <v>70.2</v>
      </c>
      <c r="Z56" s="45">
        <v>70.2</v>
      </c>
      <c r="AA56" s="45">
        <v>70.2</v>
      </c>
      <c r="AB56" s="45">
        <v>70.2</v>
      </c>
      <c r="AC56" s="45">
        <v>70.2</v>
      </c>
      <c r="AD56" s="45">
        <v>70.2</v>
      </c>
      <c r="AE56" s="45">
        <v>70.2</v>
      </c>
      <c r="AF56" s="45">
        <v>47</v>
      </c>
      <c r="AG56" s="54">
        <v>70</v>
      </c>
      <c r="AH56" s="47">
        <f t="shared" si="2"/>
        <v>70.2</v>
      </c>
      <c r="AI56" s="48">
        <f t="shared" si="3"/>
        <v>44</v>
      </c>
      <c r="AK56" s="50"/>
    </row>
    <row r="57" spans="1:41" x14ac:dyDescent="0.25">
      <c r="A57" s="53" t="s">
        <v>65</v>
      </c>
      <c r="B57" s="64">
        <v>52</v>
      </c>
      <c r="C57" s="64">
        <v>52</v>
      </c>
      <c r="D57" s="64">
        <v>52</v>
      </c>
      <c r="E57" s="64">
        <v>57</v>
      </c>
      <c r="F57" s="64">
        <v>49.9</v>
      </c>
      <c r="G57" s="64">
        <v>62.9</v>
      </c>
      <c r="H57" s="64">
        <v>63.3</v>
      </c>
      <c r="I57" s="64">
        <v>63</v>
      </c>
      <c r="J57" s="64">
        <v>62.7</v>
      </c>
      <c r="K57" s="64">
        <v>62.8</v>
      </c>
      <c r="L57" s="64">
        <v>63</v>
      </c>
      <c r="M57" s="64">
        <v>64.400000000000006</v>
      </c>
      <c r="N57" s="64">
        <v>66</v>
      </c>
      <c r="O57" s="64">
        <v>63.3</v>
      </c>
      <c r="P57" s="64">
        <v>63.3</v>
      </c>
      <c r="Q57" s="64">
        <v>63.5</v>
      </c>
      <c r="R57" s="64">
        <v>63.5</v>
      </c>
      <c r="S57" s="45">
        <v>63.5</v>
      </c>
      <c r="T57" s="45">
        <v>63.5</v>
      </c>
      <c r="U57" s="45">
        <v>63.5</v>
      </c>
      <c r="V57" s="45">
        <v>64.3</v>
      </c>
      <c r="W57" s="45">
        <v>64.3</v>
      </c>
      <c r="X57" s="45">
        <v>64.3</v>
      </c>
      <c r="Y57" s="45">
        <v>64.3</v>
      </c>
      <c r="Z57" s="45">
        <v>64.3</v>
      </c>
      <c r="AA57" s="45">
        <v>64.3</v>
      </c>
      <c r="AB57" s="45">
        <v>64.3</v>
      </c>
      <c r="AC57" s="45">
        <v>64.3</v>
      </c>
      <c r="AD57" s="45">
        <v>64.3</v>
      </c>
      <c r="AE57" s="45">
        <v>64.3</v>
      </c>
      <c r="AF57" s="45">
        <v>57</v>
      </c>
      <c r="AG57" s="54">
        <v>69</v>
      </c>
      <c r="AH57" s="47">
        <f t="shared" si="2"/>
        <v>66</v>
      </c>
      <c r="AI57" s="48">
        <f t="shared" si="3"/>
        <v>49.9</v>
      </c>
      <c r="AK57" s="50"/>
    </row>
    <row r="58" spans="1:41" x14ac:dyDescent="0.25">
      <c r="A58" s="53" t="s">
        <v>66</v>
      </c>
      <c r="B58" s="64">
        <v>50</v>
      </c>
      <c r="C58" s="64">
        <v>50</v>
      </c>
      <c r="D58" s="64">
        <v>42</v>
      </c>
      <c r="E58" s="56">
        <v>56</v>
      </c>
      <c r="F58" s="56">
        <v>42.8</v>
      </c>
      <c r="G58" s="56">
        <v>50</v>
      </c>
      <c r="H58" s="56">
        <v>50.4</v>
      </c>
      <c r="I58" s="56">
        <v>50</v>
      </c>
      <c r="J58" s="56">
        <v>49.9</v>
      </c>
      <c r="K58" s="56">
        <v>61.7</v>
      </c>
      <c r="L58" s="56">
        <v>61.7</v>
      </c>
      <c r="M58" s="64">
        <v>61.4</v>
      </c>
      <c r="N58" s="64">
        <v>51</v>
      </c>
      <c r="O58" s="64">
        <v>60.7</v>
      </c>
      <c r="P58" s="64">
        <v>60.7</v>
      </c>
      <c r="Q58" s="64">
        <v>62.5</v>
      </c>
      <c r="R58" s="64">
        <v>62.5</v>
      </c>
      <c r="S58" s="45">
        <v>60.7</v>
      </c>
      <c r="T58" s="45">
        <v>60.7</v>
      </c>
      <c r="U58" s="45">
        <v>60.7</v>
      </c>
      <c r="V58" s="45">
        <v>60.5</v>
      </c>
      <c r="W58" s="45">
        <v>60.5</v>
      </c>
      <c r="X58" s="45">
        <v>60.5</v>
      </c>
      <c r="Y58" s="45">
        <v>60.5</v>
      </c>
      <c r="Z58" s="45">
        <v>60.5</v>
      </c>
      <c r="AA58" s="45">
        <v>60.5</v>
      </c>
      <c r="AB58" s="45">
        <v>60.5</v>
      </c>
      <c r="AC58" s="45">
        <v>60.5</v>
      </c>
      <c r="AD58" s="45">
        <v>60.5</v>
      </c>
      <c r="AE58" s="45">
        <v>60.5</v>
      </c>
      <c r="AF58" s="45">
        <v>46</v>
      </c>
      <c r="AG58" s="54">
        <v>60</v>
      </c>
      <c r="AH58" s="47">
        <f t="shared" si="2"/>
        <v>62.5</v>
      </c>
      <c r="AI58" s="48">
        <f t="shared" si="3"/>
        <v>42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56">
        <v>24</v>
      </c>
      <c r="F59" s="56">
        <v>24</v>
      </c>
      <c r="G59" s="56">
        <v>24</v>
      </c>
      <c r="H59" s="56">
        <v>24</v>
      </c>
      <c r="I59" s="56">
        <v>24</v>
      </c>
      <c r="J59" s="56">
        <v>15</v>
      </c>
      <c r="K59" s="56">
        <v>15</v>
      </c>
      <c r="L59" s="56">
        <v>15</v>
      </c>
      <c r="M59" s="64">
        <v>28</v>
      </c>
      <c r="N59" s="64">
        <v>28</v>
      </c>
      <c r="O59" s="64">
        <v>28</v>
      </c>
      <c r="P59" s="64">
        <v>28</v>
      </c>
      <c r="Q59" s="64">
        <v>28</v>
      </c>
      <c r="R59" s="64">
        <v>28</v>
      </c>
      <c r="S59" s="45">
        <v>28</v>
      </c>
      <c r="T59" s="45">
        <v>28</v>
      </c>
      <c r="U59" s="45">
        <v>28</v>
      </c>
      <c r="V59" s="45">
        <v>25</v>
      </c>
      <c r="W59" s="45">
        <v>0</v>
      </c>
      <c r="X59" s="45">
        <v>0</v>
      </c>
      <c r="Y59" s="45">
        <v>0</v>
      </c>
      <c r="Z59" s="45">
        <v>15</v>
      </c>
      <c r="AA59" s="45">
        <v>15</v>
      </c>
      <c r="AB59" s="45">
        <v>15</v>
      </c>
      <c r="AC59" s="45">
        <v>15</v>
      </c>
      <c r="AD59" s="45">
        <v>15</v>
      </c>
      <c r="AE59" s="45">
        <v>15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7</v>
      </c>
      <c r="N60" s="64">
        <v>7</v>
      </c>
      <c r="O60" s="64">
        <v>17.3</v>
      </c>
      <c r="P60" s="64">
        <v>17.3</v>
      </c>
      <c r="Q60" s="64">
        <v>16.100000000000001</v>
      </c>
      <c r="R60" s="64">
        <v>16.100000000000001</v>
      </c>
      <c r="S60" s="45">
        <v>13.3</v>
      </c>
      <c r="T60" s="45">
        <v>12.8</v>
      </c>
      <c r="U60" s="45">
        <v>9</v>
      </c>
      <c r="V60" s="45">
        <v>1.4</v>
      </c>
      <c r="W60" s="45">
        <v>1.4</v>
      </c>
      <c r="X60" s="45">
        <v>0.4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</v>
      </c>
      <c r="G61" s="64">
        <v>13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9</v>
      </c>
      <c r="R61" s="64">
        <v>9</v>
      </c>
      <c r="S61" s="64">
        <v>9</v>
      </c>
      <c r="T61" s="64">
        <v>9</v>
      </c>
      <c r="U61" s="64">
        <v>9</v>
      </c>
      <c r="V61" s="64">
        <v>9</v>
      </c>
      <c r="W61" s="64">
        <v>9</v>
      </c>
      <c r="X61" s="64">
        <v>9</v>
      </c>
      <c r="Y61" s="64">
        <v>9</v>
      </c>
      <c r="Z61" s="64">
        <v>9</v>
      </c>
      <c r="AA61" s="64">
        <v>9</v>
      </c>
      <c r="AB61" s="64">
        <v>9</v>
      </c>
      <c r="AC61" s="64">
        <v>9</v>
      </c>
      <c r="AD61" s="64">
        <v>9</v>
      </c>
      <c r="AE61" s="64">
        <v>9</v>
      </c>
      <c r="AF61" s="64">
        <v>9</v>
      </c>
      <c r="AG61" s="54">
        <v>24</v>
      </c>
      <c r="AH61" s="47">
        <f t="shared" si="2"/>
        <v>13</v>
      </c>
      <c r="AI61" s="48">
        <f t="shared" si="3"/>
        <v>9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3.8</v>
      </c>
      <c r="N62" s="64">
        <v>3.8</v>
      </c>
      <c r="O62" s="64">
        <v>3.8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3.8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11.7</v>
      </c>
      <c r="C63" s="64">
        <v>11.7</v>
      </c>
      <c r="D63" s="64">
        <v>11.7</v>
      </c>
      <c r="E63" s="64">
        <v>11.7</v>
      </c>
      <c r="F63" s="64">
        <v>11.7</v>
      </c>
      <c r="G63" s="64">
        <v>11.7</v>
      </c>
      <c r="H63" s="64">
        <v>11.7</v>
      </c>
      <c r="I63" s="64">
        <v>11.7</v>
      </c>
      <c r="J63" s="64">
        <v>11.7</v>
      </c>
      <c r="K63" s="64">
        <v>11.7</v>
      </c>
      <c r="L63" s="64">
        <v>11.7</v>
      </c>
      <c r="M63" s="64">
        <v>0</v>
      </c>
      <c r="N63" s="64">
        <v>0</v>
      </c>
      <c r="O63" s="64">
        <v>0</v>
      </c>
      <c r="P63" s="64">
        <v>0</v>
      </c>
      <c r="Q63" s="64">
        <v>9.5</v>
      </c>
      <c r="R63" s="64">
        <v>9.5</v>
      </c>
      <c r="S63" s="64">
        <v>9.5</v>
      </c>
      <c r="T63" s="64">
        <v>9.5</v>
      </c>
      <c r="U63" s="64">
        <v>9.5</v>
      </c>
      <c r="V63" s="64">
        <v>9.5</v>
      </c>
      <c r="W63" s="64">
        <v>9.5</v>
      </c>
      <c r="X63" s="64">
        <v>9.5</v>
      </c>
      <c r="Y63" s="64">
        <v>9.5</v>
      </c>
      <c r="Z63" s="64">
        <v>9.5</v>
      </c>
      <c r="AA63" s="64">
        <v>9.5</v>
      </c>
      <c r="AB63" s="64">
        <v>9.5</v>
      </c>
      <c r="AC63" s="64">
        <v>9.5</v>
      </c>
      <c r="AD63" s="64">
        <v>9.5</v>
      </c>
      <c r="AE63" s="64">
        <v>9.5</v>
      </c>
      <c r="AF63" s="64">
        <v>9.5</v>
      </c>
      <c r="AG63" s="54">
        <v>14.1</v>
      </c>
      <c r="AH63" s="47">
        <f t="shared" si="2"/>
        <v>11.7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13.6</v>
      </c>
      <c r="C64" s="64">
        <v>13.6</v>
      </c>
      <c r="D64" s="64">
        <v>13.6</v>
      </c>
      <c r="E64" s="64">
        <v>7</v>
      </c>
      <c r="F64" s="64">
        <v>7</v>
      </c>
      <c r="G64" s="64">
        <v>7</v>
      </c>
      <c r="H64" s="64">
        <v>9.6999999999999993</v>
      </c>
      <c r="I64" s="64">
        <v>9.6999999999999993</v>
      </c>
      <c r="J64" s="64">
        <v>9.6999999999999993</v>
      </c>
      <c r="K64" s="64">
        <v>3</v>
      </c>
      <c r="L64" s="64">
        <v>3</v>
      </c>
      <c r="M64" s="64">
        <v>13.9</v>
      </c>
      <c r="N64" s="64">
        <v>13.9</v>
      </c>
      <c r="O64" s="64">
        <v>13.9</v>
      </c>
      <c r="P64" s="64">
        <v>13.9</v>
      </c>
      <c r="Q64" s="64">
        <v>12.5</v>
      </c>
      <c r="R64" s="64">
        <v>12.5</v>
      </c>
      <c r="S64" s="64">
        <v>12.5</v>
      </c>
      <c r="T64" s="64">
        <v>4.4000000000000004</v>
      </c>
      <c r="U64" s="64">
        <v>4.4000000000000004</v>
      </c>
      <c r="V64" s="64">
        <v>4.4000000000000004</v>
      </c>
      <c r="W64" s="64">
        <v>4.4000000000000004</v>
      </c>
      <c r="X64" s="64">
        <v>4.4000000000000004</v>
      </c>
      <c r="Y64" s="64">
        <v>4.4000000000000004</v>
      </c>
      <c r="Z64" s="64">
        <v>4.4000000000000004</v>
      </c>
      <c r="AA64" s="64">
        <v>4.4000000000000004</v>
      </c>
      <c r="AB64" s="64">
        <v>4.4000000000000004</v>
      </c>
      <c r="AC64" s="64">
        <v>4.4000000000000004</v>
      </c>
      <c r="AD64" s="64">
        <v>4.4000000000000004</v>
      </c>
      <c r="AE64" s="64">
        <v>4.4000000000000004</v>
      </c>
      <c r="AF64" s="64">
        <v>4.4000000000000004</v>
      </c>
      <c r="AG64" s="54">
        <v>14</v>
      </c>
      <c r="AH64" s="47">
        <f t="shared" si="2"/>
        <v>13.9</v>
      </c>
      <c r="AI64" s="48">
        <f t="shared" si="3"/>
        <v>3</v>
      </c>
      <c r="AK64" s="50"/>
    </row>
    <row r="65" spans="1:40" x14ac:dyDescent="0.25">
      <c r="A65" s="53" t="s">
        <v>73</v>
      </c>
      <c r="B65" s="64">
        <v>8.5</v>
      </c>
      <c r="C65" s="64">
        <v>8.5</v>
      </c>
      <c r="D65" s="64">
        <v>8.5</v>
      </c>
      <c r="E65" s="64">
        <v>8.5</v>
      </c>
      <c r="F65" s="64">
        <v>8.5</v>
      </c>
      <c r="G65" s="64">
        <v>8.5</v>
      </c>
      <c r="H65" s="64">
        <v>8.5</v>
      </c>
      <c r="I65" s="64">
        <v>8.5</v>
      </c>
      <c r="J65" s="64">
        <v>8.5</v>
      </c>
      <c r="K65" s="64">
        <v>8.5</v>
      </c>
      <c r="L65" s="64">
        <v>8.5</v>
      </c>
      <c r="M65" s="64">
        <v>8.5</v>
      </c>
      <c r="N65" s="64">
        <v>8.5</v>
      </c>
      <c r="O65" s="64">
        <v>8.5</v>
      </c>
      <c r="P65" s="64">
        <v>8.5</v>
      </c>
      <c r="Q65" s="64">
        <v>8.5</v>
      </c>
      <c r="R65" s="64">
        <v>8.5</v>
      </c>
      <c r="S65" s="64">
        <v>8.5</v>
      </c>
      <c r="T65" s="64">
        <v>8.5</v>
      </c>
      <c r="U65" s="64">
        <v>8.5</v>
      </c>
      <c r="V65" s="64">
        <v>8.5</v>
      </c>
      <c r="W65" s="64">
        <v>8.5</v>
      </c>
      <c r="X65" s="64">
        <v>8.5</v>
      </c>
      <c r="Y65" s="64">
        <v>8.5</v>
      </c>
      <c r="Z65" s="64">
        <v>8.5</v>
      </c>
      <c r="AA65" s="64">
        <v>8.5</v>
      </c>
      <c r="AB65" s="64">
        <v>8.5</v>
      </c>
      <c r="AC65" s="64">
        <v>8.5</v>
      </c>
      <c r="AD65" s="64">
        <v>8.5</v>
      </c>
      <c r="AE65" s="64">
        <v>8.5</v>
      </c>
      <c r="AF65" s="64">
        <v>8.5</v>
      </c>
      <c r="AG65" s="54">
        <v>10.050000000000001</v>
      </c>
      <c r="AH65" s="47">
        <f t="shared" si="2"/>
        <v>8.5</v>
      </c>
      <c r="AI65" s="48">
        <f t="shared" si="3"/>
        <v>8.5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353.54</v>
      </c>
      <c r="C68" s="60">
        <f t="shared" si="6"/>
        <v>353.54</v>
      </c>
      <c r="D68" s="60">
        <f t="shared" si="6"/>
        <v>334.54</v>
      </c>
      <c r="E68" s="60">
        <f t="shared" si="6"/>
        <v>367.94</v>
      </c>
      <c r="F68" s="60">
        <f t="shared" si="6"/>
        <v>304.33999999999997</v>
      </c>
      <c r="G68" s="60">
        <f t="shared" si="6"/>
        <v>324.54000000000002</v>
      </c>
      <c r="H68" s="60">
        <f t="shared" si="6"/>
        <v>354.03999999999996</v>
      </c>
      <c r="I68" s="60">
        <f t="shared" si="6"/>
        <v>361.84999999999997</v>
      </c>
      <c r="J68" s="60">
        <f t="shared" si="6"/>
        <v>372.73999999999995</v>
      </c>
      <c r="K68" s="60">
        <f t="shared" si="6"/>
        <v>383.34</v>
      </c>
      <c r="L68" s="60">
        <f t="shared" si="6"/>
        <v>387.64</v>
      </c>
      <c r="M68" s="60">
        <f t="shared" si="6"/>
        <v>389.24</v>
      </c>
      <c r="N68" s="60">
        <f t="shared" si="6"/>
        <v>387.84</v>
      </c>
      <c r="O68" s="60">
        <f t="shared" si="6"/>
        <v>420.44</v>
      </c>
      <c r="P68" s="60">
        <f t="shared" si="6"/>
        <v>416.64</v>
      </c>
      <c r="Q68" s="60">
        <f t="shared" si="6"/>
        <v>422.04</v>
      </c>
      <c r="R68" s="60">
        <f t="shared" si="6"/>
        <v>422.04</v>
      </c>
      <c r="S68" s="60">
        <f>SUM(S55:S67)</f>
        <v>418.14</v>
      </c>
      <c r="T68" s="60">
        <f t="shared" si="6"/>
        <v>409.53999999999996</v>
      </c>
      <c r="U68" s="60">
        <f t="shared" si="6"/>
        <v>405.73999999999995</v>
      </c>
      <c r="V68" s="60">
        <f t="shared" si="6"/>
        <v>396.03999999999996</v>
      </c>
      <c r="W68" s="60">
        <f t="shared" si="6"/>
        <v>371.03999999999996</v>
      </c>
      <c r="X68" s="60">
        <f t="shared" si="6"/>
        <v>370.03999999999996</v>
      </c>
      <c r="Y68" s="60">
        <f t="shared" si="6"/>
        <v>369.64</v>
      </c>
      <c r="Z68" s="60">
        <f t="shared" si="6"/>
        <v>384.64</v>
      </c>
      <c r="AA68" s="60">
        <f t="shared" si="6"/>
        <v>384.64</v>
      </c>
      <c r="AB68" s="60">
        <f t="shared" si="6"/>
        <v>384.64</v>
      </c>
      <c r="AC68" s="60">
        <f t="shared" si="6"/>
        <v>384.64</v>
      </c>
      <c r="AD68" s="60">
        <f t="shared" si="6"/>
        <v>384.64</v>
      </c>
      <c r="AE68" s="60">
        <f t="shared" si="6"/>
        <v>384.64</v>
      </c>
      <c r="AF68" s="60">
        <f t="shared" si="6"/>
        <v>340.14</v>
      </c>
      <c r="AG68" s="61">
        <f t="shared" si="6"/>
        <v>489.91</v>
      </c>
      <c r="AH68" s="47">
        <f t="shared" si="2"/>
        <v>422.04</v>
      </c>
      <c r="AI68" s="48">
        <f t="shared" si="3"/>
        <v>304.33999999999997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>
        <v>28</v>
      </c>
      <c r="AA69" s="45">
        <v>14</v>
      </c>
      <c r="AB69" s="45"/>
      <c r="AC69" s="45"/>
      <c r="AD69" s="45"/>
      <c r="AE69" s="45"/>
      <c r="AF69" s="45"/>
      <c r="AG69" s="51">
        <v>60</v>
      </c>
      <c r="AH69" s="47">
        <f t="shared" si="2"/>
        <v>28</v>
      </c>
      <c r="AI69" s="48">
        <f t="shared" si="3"/>
        <v>14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>
        <v>15.7</v>
      </c>
      <c r="AA70" s="64">
        <v>6</v>
      </c>
      <c r="AB70" s="64"/>
      <c r="AC70" s="64"/>
      <c r="AD70" s="64"/>
      <c r="AE70" s="64"/>
      <c r="AF70" s="64"/>
      <c r="AG70" s="54">
        <v>32</v>
      </c>
      <c r="AH70" s="47">
        <f t="shared" si="2"/>
        <v>15.7</v>
      </c>
      <c r="AI70" s="48">
        <f t="shared" si="3"/>
        <v>6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>
        <v>5.7</v>
      </c>
      <c r="AA71" s="66">
        <v>2.2000000000000002</v>
      </c>
      <c r="AB71" s="66"/>
      <c r="AC71" s="66"/>
      <c r="AD71" s="66"/>
      <c r="AE71" s="66"/>
      <c r="AF71" s="66"/>
      <c r="AG71" s="67">
        <v>14</v>
      </c>
      <c r="AH71" s="47">
        <f t="shared" si="2"/>
        <v>5.7</v>
      </c>
      <c r="AI71" s="48">
        <f t="shared" si="3"/>
        <v>2.2000000000000002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49.400000000000006</v>
      </c>
      <c r="AA72" s="60">
        <f t="shared" si="7"/>
        <v>22.2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49.400000000000006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-32</v>
      </c>
      <c r="C73" s="45">
        <v>-22</v>
      </c>
      <c r="D73" s="45">
        <v>-22</v>
      </c>
      <c r="E73" s="45">
        <v>-23.9</v>
      </c>
      <c r="F73" s="45">
        <v>-26</v>
      </c>
      <c r="G73" s="45">
        <v>-28</v>
      </c>
      <c r="H73" s="45">
        <v>-29.8</v>
      </c>
      <c r="I73" s="45">
        <v>-34</v>
      </c>
      <c r="J73" s="45">
        <v>-29</v>
      </c>
      <c r="K73" s="45">
        <v>-8.9</v>
      </c>
      <c r="L73" s="45">
        <v>-8.6999999999999993</v>
      </c>
      <c r="M73" s="45">
        <v>-6.7</v>
      </c>
      <c r="N73" s="45">
        <v>0</v>
      </c>
      <c r="O73" s="45">
        <v>-6.5</v>
      </c>
      <c r="P73" s="45">
        <v>-2</v>
      </c>
      <c r="Q73" s="45">
        <v>-18</v>
      </c>
      <c r="R73" s="45">
        <v>-4.8</v>
      </c>
      <c r="S73" s="45">
        <v>44</v>
      </c>
      <c r="T73" s="45">
        <v>52.6</v>
      </c>
      <c r="U73" s="45">
        <v>43.2</v>
      </c>
      <c r="V73" s="45">
        <v>24</v>
      </c>
      <c r="W73" s="45">
        <v>35.299999999999997</v>
      </c>
      <c r="X73" s="45">
        <v>40</v>
      </c>
      <c r="Y73" s="45">
        <v>37.799999999999997</v>
      </c>
      <c r="Z73" s="45">
        <v>25.4</v>
      </c>
      <c r="AA73" s="45">
        <v>13.8</v>
      </c>
      <c r="AB73" s="45"/>
      <c r="AC73" s="45">
        <v>42</v>
      </c>
      <c r="AD73" s="45">
        <v>50</v>
      </c>
      <c r="AE73" s="45">
        <v>-2.6</v>
      </c>
      <c r="AF73" s="45">
        <v>-9</v>
      </c>
      <c r="AG73" s="51"/>
      <c r="AH73" s="47">
        <f t="shared" si="2"/>
        <v>52.6</v>
      </c>
      <c r="AI73" s="48">
        <f t="shared" si="3"/>
        <v>-34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-482</v>
      </c>
      <c r="C75" s="64">
        <v>-488</v>
      </c>
      <c r="D75" s="64">
        <v>-480</v>
      </c>
      <c r="E75" s="64">
        <v>-512</v>
      </c>
      <c r="F75" s="64">
        <v>-524</v>
      </c>
      <c r="G75" s="64">
        <v>-517.6</v>
      </c>
      <c r="H75" s="64">
        <v>-524.79999999999995</v>
      </c>
      <c r="I75" s="64">
        <v>-515</v>
      </c>
      <c r="J75" s="64">
        <v>-518</v>
      </c>
      <c r="K75" s="64">
        <v>-469.8</v>
      </c>
      <c r="L75" s="64">
        <v>-472</v>
      </c>
      <c r="M75" s="64">
        <v>-420.7</v>
      </c>
      <c r="N75" s="64">
        <v>-390.1</v>
      </c>
      <c r="O75" s="64">
        <v>-379.3</v>
      </c>
      <c r="P75" s="64">
        <v>-430.6</v>
      </c>
      <c r="Q75" s="64">
        <v>-407.7</v>
      </c>
      <c r="R75" s="64">
        <v>-411.5</v>
      </c>
      <c r="S75" s="64">
        <v>-355.1</v>
      </c>
      <c r="T75" s="64">
        <v>-366</v>
      </c>
      <c r="U75" s="64">
        <v>-430.4</v>
      </c>
      <c r="V75" s="64">
        <v>-410</v>
      </c>
      <c r="W75" s="64">
        <v>-424</v>
      </c>
      <c r="X75" s="64">
        <v>-443</v>
      </c>
      <c r="Y75" s="64">
        <v>-361</v>
      </c>
      <c r="Z75" s="64">
        <v>-361</v>
      </c>
      <c r="AA75" s="64">
        <v>-397</v>
      </c>
      <c r="AB75" s="64"/>
      <c r="AC75" s="64">
        <v>-360</v>
      </c>
      <c r="AD75" s="64">
        <v>-364</v>
      </c>
      <c r="AE75" s="64">
        <v>-400</v>
      </c>
      <c r="AF75" s="64">
        <v>-363</v>
      </c>
      <c r="AG75" s="74"/>
      <c r="AH75" s="47">
        <f t="shared" si="2"/>
        <v>-355.1</v>
      </c>
      <c r="AI75" s="48">
        <f t="shared" si="3"/>
        <v>-524.79999999999995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64"/>
      <c r="C77" s="64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64"/>
      <c r="C78" s="64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64"/>
      <c r="C79" s="64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>
        <v>12</v>
      </c>
      <c r="C80" s="76">
        <v>12</v>
      </c>
      <c r="D80" s="76">
        <v>12</v>
      </c>
      <c r="E80" s="76">
        <v>12</v>
      </c>
      <c r="F80" s="76">
        <v>12</v>
      </c>
      <c r="G80" s="76">
        <v>12</v>
      </c>
      <c r="H80" s="76">
        <v>12</v>
      </c>
      <c r="I80" s="76">
        <v>12</v>
      </c>
      <c r="J80" s="76">
        <v>12</v>
      </c>
      <c r="K80" s="76">
        <v>12</v>
      </c>
      <c r="L80" s="76">
        <v>12</v>
      </c>
      <c r="M80" s="76">
        <v>12</v>
      </c>
      <c r="N80" s="76">
        <v>12</v>
      </c>
      <c r="O80" s="76">
        <v>12</v>
      </c>
      <c r="P80" s="76">
        <v>12</v>
      </c>
      <c r="Q80" s="76">
        <v>12</v>
      </c>
      <c r="R80" s="76">
        <v>12</v>
      </c>
      <c r="S80" s="76">
        <v>12</v>
      </c>
      <c r="T80" s="76">
        <v>12</v>
      </c>
      <c r="U80" s="76">
        <v>12</v>
      </c>
      <c r="V80" s="76">
        <v>12</v>
      </c>
      <c r="W80" s="76">
        <v>12</v>
      </c>
      <c r="X80" s="76">
        <v>12</v>
      </c>
      <c r="Y80" s="76">
        <v>12</v>
      </c>
      <c r="Z80" s="76">
        <v>12</v>
      </c>
      <c r="AA80" s="76">
        <v>12</v>
      </c>
      <c r="AB80" s="76"/>
      <c r="AC80" s="76">
        <v>12</v>
      </c>
      <c r="AD80" s="76">
        <v>12</v>
      </c>
      <c r="AE80" s="76">
        <v>12</v>
      </c>
      <c r="AF80" s="76">
        <v>12</v>
      </c>
      <c r="AG80" s="74"/>
      <c r="AH80" s="47">
        <f t="shared" si="8"/>
        <v>12</v>
      </c>
      <c r="AI80" s="48">
        <f t="shared" si="9"/>
        <v>12</v>
      </c>
      <c r="AK80" s="78"/>
      <c r="AL80" s="79"/>
      <c r="AM80" s="79"/>
      <c r="AN80" s="80"/>
    </row>
    <row r="81" spans="1:40" x14ac:dyDescent="0.25">
      <c r="A81" s="53" t="s">
        <v>90</v>
      </c>
      <c r="B81" s="64"/>
      <c r="C81" s="64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64"/>
      <c r="C82" s="64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64"/>
      <c r="C83" s="64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0">SUMIF(B73:B83,"&gt;0")</f>
        <v>12</v>
      </c>
      <c r="C84" s="60">
        <f t="shared" si="10"/>
        <v>12</v>
      </c>
      <c r="D84" s="60">
        <f t="shared" si="10"/>
        <v>12</v>
      </c>
      <c r="E84" s="60">
        <f t="shared" si="10"/>
        <v>12</v>
      </c>
      <c r="F84" s="60">
        <f t="shared" si="10"/>
        <v>12</v>
      </c>
      <c r="G84" s="60">
        <f t="shared" si="10"/>
        <v>12</v>
      </c>
      <c r="H84" s="60">
        <f t="shared" si="10"/>
        <v>12</v>
      </c>
      <c r="I84" s="60">
        <f t="shared" si="10"/>
        <v>12</v>
      </c>
      <c r="J84" s="60">
        <f t="shared" si="10"/>
        <v>12</v>
      </c>
      <c r="K84" s="60">
        <f t="shared" si="10"/>
        <v>12</v>
      </c>
      <c r="L84" s="60">
        <f t="shared" si="10"/>
        <v>12</v>
      </c>
      <c r="M84" s="60">
        <f t="shared" si="10"/>
        <v>12</v>
      </c>
      <c r="N84" s="60">
        <f t="shared" si="10"/>
        <v>12</v>
      </c>
      <c r="O84" s="60">
        <f t="shared" si="10"/>
        <v>12</v>
      </c>
      <c r="P84" s="60">
        <f t="shared" si="10"/>
        <v>12</v>
      </c>
      <c r="Q84" s="60">
        <f t="shared" si="10"/>
        <v>12</v>
      </c>
      <c r="R84" s="60">
        <f t="shared" si="10"/>
        <v>12</v>
      </c>
      <c r="S84" s="60">
        <f t="shared" si="10"/>
        <v>56</v>
      </c>
      <c r="T84" s="60">
        <f t="shared" si="10"/>
        <v>64.599999999999994</v>
      </c>
      <c r="U84" s="60">
        <f t="shared" si="10"/>
        <v>55.2</v>
      </c>
      <c r="V84" s="60">
        <f t="shared" si="10"/>
        <v>36</v>
      </c>
      <c r="W84" s="60">
        <f t="shared" si="10"/>
        <v>47.3</v>
      </c>
      <c r="X84" s="60">
        <f t="shared" si="10"/>
        <v>52</v>
      </c>
      <c r="Y84" s="60">
        <f t="shared" si="10"/>
        <v>49.8</v>
      </c>
      <c r="Z84" s="60">
        <f t="shared" si="10"/>
        <v>37.4</v>
      </c>
      <c r="AA84" s="60">
        <f t="shared" si="10"/>
        <v>25.8</v>
      </c>
      <c r="AB84" s="60">
        <f t="shared" si="10"/>
        <v>0</v>
      </c>
      <c r="AC84" s="60">
        <f t="shared" si="10"/>
        <v>54</v>
      </c>
      <c r="AD84" s="60">
        <f t="shared" si="10"/>
        <v>62</v>
      </c>
      <c r="AE84" s="60">
        <f t="shared" si="10"/>
        <v>12</v>
      </c>
      <c r="AF84" s="60">
        <f t="shared" si="10"/>
        <v>12</v>
      </c>
      <c r="AG84" s="87">
        <f>SUM(AG73:AG83)</f>
        <v>0</v>
      </c>
      <c r="AH84" s="47">
        <f t="shared" si="8"/>
        <v>64.599999999999994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1857.4399999999998</v>
      </c>
      <c r="C89" s="94">
        <f t="shared" si="11"/>
        <v>1897.4399999999998</v>
      </c>
      <c r="D89" s="94">
        <f t="shared" si="11"/>
        <v>1841.9399999999998</v>
      </c>
      <c r="E89" s="94">
        <f t="shared" si="11"/>
        <v>1826.14</v>
      </c>
      <c r="F89" s="94">
        <f t="shared" si="11"/>
        <v>1803.74</v>
      </c>
      <c r="G89" s="94">
        <f t="shared" si="11"/>
        <v>1816.34</v>
      </c>
      <c r="H89" s="94">
        <f t="shared" si="11"/>
        <v>1845.84</v>
      </c>
      <c r="I89" s="94">
        <f t="shared" si="11"/>
        <v>1890.31</v>
      </c>
      <c r="J89" s="94">
        <f t="shared" si="11"/>
        <v>1901.2</v>
      </c>
      <c r="K89" s="94">
        <f t="shared" si="11"/>
        <v>1897.3999999999999</v>
      </c>
      <c r="L89" s="94">
        <f t="shared" si="11"/>
        <v>1915.5</v>
      </c>
      <c r="M89" s="94">
        <f t="shared" si="11"/>
        <v>1881.04</v>
      </c>
      <c r="N89" s="94">
        <f t="shared" si="11"/>
        <v>1851.84</v>
      </c>
      <c r="O89" s="94">
        <f t="shared" si="11"/>
        <v>1891.64</v>
      </c>
      <c r="P89" s="94">
        <f t="shared" si="11"/>
        <v>1925.1399999999999</v>
      </c>
      <c r="Q89" s="94">
        <f t="shared" si="11"/>
        <v>1928.94</v>
      </c>
      <c r="R89" s="94">
        <f t="shared" si="11"/>
        <v>1956.6399999999999</v>
      </c>
      <c r="S89" s="94">
        <f t="shared" si="11"/>
        <v>1926.73</v>
      </c>
      <c r="T89" s="94">
        <f t="shared" si="11"/>
        <v>1960.23</v>
      </c>
      <c r="U89" s="94">
        <f t="shared" si="11"/>
        <v>1940.43</v>
      </c>
      <c r="V89" s="94">
        <f t="shared" si="11"/>
        <v>1903.99</v>
      </c>
      <c r="W89" s="94">
        <f t="shared" si="11"/>
        <v>1890.29</v>
      </c>
      <c r="X89" s="94">
        <f t="shared" si="11"/>
        <v>1893.99</v>
      </c>
      <c r="Y89" s="94">
        <f t="shared" si="11"/>
        <v>1891.39</v>
      </c>
      <c r="Z89" s="94">
        <f t="shared" si="11"/>
        <v>1987.3900000000003</v>
      </c>
      <c r="AA89" s="94">
        <f t="shared" si="11"/>
        <v>1952.59</v>
      </c>
      <c r="AB89" s="94">
        <f t="shared" si="11"/>
        <v>1904.5900000000001</v>
      </c>
      <c r="AC89" s="94">
        <f t="shared" si="11"/>
        <v>1958.5900000000001</v>
      </c>
      <c r="AD89" s="94">
        <f t="shared" si="11"/>
        <v>1966.5900000000001</v>
      </c>
      <c r="AE89" s="94">
        <f t="shared" si="11"/>
        <v>1916.5900000000001</v>
      </c>
      <c r="AF89" s="94">
        <f t="shared" si="11"/>
        <v>1872.0900000000001</v>
      </c>
      <c r="AG89" s="61">
        <f t="shared" si="11"/>
        <v>2111.5500000000002</v>
      </c>
      <c r="AH89" s="47">
        <f t="shared" si="8"/>
        <v>1987.3900000000003</v>
      </c>
      <c r="AI89" s="48">
        <f t="shared" si="9"/>
        <v>1803.74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1857.4399999999998</v>
      </c>
      <c r="C91" s="94">
        <f t="shared" si="12"/>
        <v>1897.4399999999998</v>
      </c>
      <c r="D91" s="94">
        <f t="shared" si="12"/>
        <v>1841.9399999999998</v>
      </c>
      <c r="E91" s="94">
        <f t="shared" si="12"/>
        <v>1826.14</v>
      </c>
      <c r="F91" s="94">
        <f t="shared" si="12"/>
        <v>1803.74</v>
      </c>
      <c r="G91" s="94">
        <f t="shared" si="12"/>
        <v>1816.34</v>
      </c>
      <c r="H91" s="94">
        <f t="shared" si="12"/>
        <v>1845.84</v>
      </c>
      <c r="I91" s="94">
        <f t="shared" si="12"/>
        <v>1890.31</v>
      </c>
      <c r="J91" s="94">
        <f t="shared" si="12"/>
        <v>1901.2</v>
      </c>
      <c r="K91" s="94">
        <f t="shared" si="12"/>
        <v>1897.3999999999999</v>
      </c>
      <c r="L91" s="94">
        <f t="shared" si="12"/>
        <v>1915.5</v>
      </c>
      <c r="M91" s="94">
        <f t="shared" si="12"/>
        <v>1881.04</v>
      </c>
      <c r="N91" s="94">
        <f t="shared" si="12"/>
        <v>1851.84</v>
      </c>
      <c r="O91" s="94">
        <f t="shared" si="12"/>
        <v>1891.64</v>
      </c>
      <c r="P91" s="94">
        <f t="shared" si="12"/>
        <v>1925.1399999999999</v>
      </c>
      <c r="Q91" s="94">
        <f t="shared" si="12"/>
        <v>1928.94</v>
      </c>
      <c r="R91" s="94">
        <f t="shared" si="12"/>
        <v>1956.6399999999999</v>
      </c>
      <c r="S91" s="94">
        <f t="shared" si="12"/>
        <v>1926.73</v>
      </c>
      <c r="T91" s="94">
        <f t="shared" si="12"/>
        <v>1960.23</v>
      </c>
      <c r="U91" s="94">
        <f t="shared" si="12"/>
        <v>1940.43</v>
      </c>
      <c r="V91" s="94">
        <f t="shared" si="12"/>
        <v>1903.99</v>
      </c>
      <c r="W91" s="94">
        <f t="shared" si="12"/>
        <v>1890.29</v>
      </c>
      <c r="X91" s="94">
        <f t="shared" si="12"/>
        <v>1893.99</v>
      </c>
      <c r="Y91" s="94">
        <f t="shared" si="12"/>
        <v>1891.39</v>
      </c>
      <c r="Z91" s="94">
        <f t="shared" si="12"/>
        <v>1987.3900000000003</v>
      </c>
      <c r="AA91" s="94">
        <f t="shared" si="12"/>
        <v>1952.59</v>
      </c>
      <c r="AB91" s="94">
        <f t="shared" si="12"/>
        <v>1904.5900000000001</v>
      </c>
      <c r="AC91" s="94">
        <f t="shared" si="12"/>
        <v>1958.5900000000001</v>
      </c>
      <c r="AD91" s="94">
        <f t="shared" si="12"/>
        <v>1966.5900000000001</v>
      </c>
      <c r="AE91" s="94">
        <f t="shared" si="12"/>
        <v>1916.5900000000001</v>
      </c>
      <c r="AF91" s="94">
        <f t="shared" si="12"/>
        <v>1872.0900000000001</v>
      </c>
      <c r="AG91" s="87">
        <f>AG88+AG84+AG72+AG68+AG50+AG90</f>
        <v>1573.45</v>
      </c>
      <c r="AH91" s="47">
        <f t="shared" si="8"/>
        <v>1987.3900000000003</v>
      </c>
      <c r="AI91" s="48">
        <f t="shared" si="9"/>
        <v>1803.74</v>
      </c>
    </row>
    <row r="92" spans="1:40" ht="15.75" thickBot="1" x14ac:dyDescent="0.3">
      <c r="A92" s="73" t="s">
        <v>103</v>
      </c>
      <c r="B92" s="94">
        <f t="shared" ref="B92:AF92" si="13">B91-B99</f>
        <v>2339.4399999999996</v>
      </c>
      <c r="C92" s="94">
        <f t="shared" si="13"/>
        <v>2385.4399999999996</v>
      </c>
      <c r="D92" s="94">
        <f t="shared" si="13"/>
        <v>2321.9399999999996</v>
      </c>
      <c r="E92" s="94">
        <f t="shared" si="13"/>
        <v>2338.1400000000003</v>
      </c>
      <c r="F92" s="94">
        <f t="shared" si="13"/>
        <v>2327.7399999999998</v>
      </c>
      <c r="G92" s="94">
        <f t="shared" si="13"/>
        <v>2333.94</v>
      </c>
      <c r="H92" s="94">
        <f t="shared" si="13"/>
        <v>2370.64</v>
      </c>
      <c r="I92" s="94">
        <f t="shared" si="13"/>
        <v>2405.31</v>
      </c>
      <c r="J92" s="94">
        <f t="shared" si="13"/>
        <v>2419.1999999999998</v>
      </c>
      <c r="K92" s="94">
        <f t="shared" si="13"/>
        <v>2367.1999999999998</v>
      </c>
      <c r="L92" s="94">
        <f t="shared" si="13"/>
        <v>2387.5</v>
      </c>
      <c r="M92" s="94">
        <f t="shared" si="13"/>
        <v>2301.7399999999998</v>
      </c>
      <c r="N92" s="94">
        <f t="shared" si="13"/>
        <v>2241.94</v>
      </c>
      <c r="O92" s="94">
        <f t="shared" si="13"/>
        <v>2270.94</v>
      </c>
      <c r="P92" s="94">
        <f t="shared" si="13"/>
        <v>2355.7399999999998</v>
      </c>
      <c r="Q92" s="94">
        <f t="shared" si="13"/>
        <v>2336.64</v>
      </c>
      <c r="R92" s="94">
        <f t="shared" si="13"/>
        <v>2368.14</v>
      </c>
      <c r="S92" s="94">
        <f t="shared" si="13"/>
        <v>2281.83</v>
      </c>
      <c r="T92" s="94">
        <f t="shared" si="13"/>
        <v>2326.23</v>
      </c>
      <c r="U92" s="94">
        <f t="shared" si="13"/>
        <v>2370.83</v>
      </c>
      <c r="V92" s="94">
        <f t="shared" si="13"/>
        <v>2313.9899999999998</v>
      </c>
      <c r="W92" s="94">
        <f t="shared" si="13"/>
        <v>2314.29</v>
      </c>
      <c r="X92" s="94">
        <f t="shared" si="13"/>
        <v>2336.9899999999998</v>
      </c>
      <c r="Y92" s="94">
        <f t="shared" si="13"/>
        <v>2252.3900000000003</v>
      </c>
      <c r="Z92" s="94">
        <f t="shared" si="13"/>
        <v>2348.3900000000003</v>
      </c>
      <c r="AA92" s="94">
        <f t="shared" si="13"/>
        <v>2349.59</v>
      </c>
      <c r="AB92" s="94">
        <f t="shared" si="13"/>
        <v>1904.5900000000001</v>
      </c>
      <c r="AC92" s="94">
        <f t="shared" si="13"/>
        <v>2318.59</v>
      </c>
      <c r="AD92" s="94">
        <f t="shared" si="13"/>
        <v>2330.59</v>
      </c>
      <c r="AE92" s="94">
        <f t="shared" si="13"/>
        <v>2316.59</v>
      </c>
      <c r="AF92" s="94">
        <f t="shared" si="13"/>
        <v>2235.09</v>
      </c>
      <c r="AG92" s="87"/>
      <c r="AH92" s="47">
        <f t="shared" si="8"/>
        <v>2419.1999999999998</v>
      </c>
      <c r="AI92" s="48">
        <f t="shared" si="9"/>
        <v>1904.5900000000001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-482</v>
      </c>
      <c r="C99" s="60">
        <f t="shared" ref="C99:AF99" si="14">C75</f>
        <v>-488</v>
      </c>
      <c r="D99" s="60">
        <f t="shared" si="14"/>
        <v>-480</v>
      </c>
      <c r="E99" s="60">
        <f t="shared" si="14"/>
        <v>-512</v>
      </c>
      <c r="F99" s="60">
        <f t="shared" si="14"/>
        <v>-524</v>
      </c>
      <c r="G99" s="60">
        <f t="shared" si="14"/>
        <v>-517.6</v>
      </c>
      <c r="H99" s="60">
        <f t="shared" si="14"/>
        <v>-524.79999999999995</v>
      </c>
      <c r="I99" s="60">
        <f t="shared" si="14"/>
        <v>-515</v>
      </c>
      <c r="J99" s="60">
        <f t="shared" si="14"/>
        <v>-518</v>
      </c>
      <c r="K99" s="60">
        <f t="shared" si="14"/>
        <v>-469.8</v>
      </c>
      <c r="L99" s="60">
        <f t="shared" si="14"/>
        <v>-472</v>
      </c>
      <c r="M99" s="60">
        <f t="shared" si="14"/>
        <v>-420.7</v>
      </c>
      <c r="N99" s="60">
        <f t="shared" si="14"/>
        <v>-390.1</v>
      </c>
      <c r="O99" s="60">
        <f t="shared" si="14"/>
        <v>-379.3</v>
      </c>
      <c r="P99" s="60">
        <f t="shared" si="14"/>
        <v>-430.6</v>
      </c>
      <c r="Q99" s="60">
        <f t="shared" si="14"/>
        <v>-407.7</v>
      </c>
      <c r="R99" s="60">
        <f t="shared" si="14"/>
        <v>-411.5</v>
      </c>
      <c r="S99" s="60">
        <f t="shared" si="14"/>
        <v>-355.1</v>
      </c>
      <c r="T99" s="60">
        <f t="shared" si="14"/>
        <v>-366</v>
      </c>
      <c r="U99" s="60">
        <f t="shared" si="14"/>
        <v>-430.4</v>
      </c>
      <c r="V99" s="60">
        <f t="shared" si="14"/>
        <v>-410</v>
      </c>
      <c r="W99" s="60">
        <f t="shared" si="14"/>
        <v>-424</v>
      </c>
      <c r="X99" s="60">
        <f t="shared" si="14"/>
        <v>-443</v>
      </c>
      <c r="Y99" s="60">
        <f t="shared" si="14"/>
        <v>-361</v>
      </c>
      <c r="Z99" s="60">
        <f t="shared" si="14"/>
        <v>-361</v>
      </c>
      <c r="AA99" s="60">
        <f t="shared" si="14"/>
        <v>-397</v>
      </c>
      <c r="AB99" s="60">
        <f t="shared" si="14"/>
        <v>0</v>
      </c>
      <c r="AC99" s="60">
        <f t="shared" si="14"/>
        <v>-360</v>
      </c>
      <c r="AD99" s="60">
        <f t="shared" si="14"/>
        <v>-364</v>
      </c>
      <c r="AE99" s="60">
        <f t="shared" si="14"/>
        <v>-400</v>
      </c>
      <c r="AF99" s="60">
        <f t="shared" si="14"/>
        <v>-363</v>
      </c>
      <c r="AG99" s="87"/>
      <c r="AH99" s="47">
        <f t="shared" si="8"/>
        <v>0</v>
      </c>
      <c r="AI99" s="48">
        <f t="shared" si="9"/>
        <v>-524.79999999999995</v>
      </c>
      <c r="AK99" s="50"/>
    </row>
    <row r="100" spans="1:37" ht="15.75" thickBot="1" x14ac:dyDescent="0.3">
      <c r="A100" s="73" t="s">
        <v>108</v>
      </c>
      <c r="B100" s="60">
        <f t="shared" ref="B100:AF100" si="15">B84-B99</f>
        <v>494</v>
      </c>
      <c r="C100" s="60">
        <f t="shared" si="15"/>
        <v>500</v>
      </c>
      <c r="D100" s="60">
        <f t="shared" si="15"/>
        <v>492</v>
      </c>
      <c r="E100" s="60">
        <f t="shared" si="15"/>
        <v>524</v>
      </c>
      <c r="F100" s="60">
        <f t="shared" si="15"/>
        <v>536</v>
      </c>
      <c r="G100" s="60">
        <f t="shared" si="15"/>
        <v>529.6</v>
      </c>
      <c r="H100" s="60">
        <f t="shared" si="15"/>
        <v>536.79999999999995</v>
      </c>
      <c r="I100" s="60">
        <f t="shared" si="15"/>
        <v>527</v>
      </c>
      <c r="J100" s="60">
        <f t="shared" si="15"/>
        <v>530</v>
      </c>
      <c r="K100" s="60">
        <f t="shared" si="15"/>
        <v>481.8</v>
      </c>
      <c r="L100" s="60">
        <f t="shared" si="15"/>
        <v>484</v>
      </c>
      <c r="M100" s="60">
        <f t="shared" si="15"/>
        <v>432.7</v>
      </c>
      <c r="N100" s="60">
        <f t="shared" si="15"/>
        <v>402.1</v>
      </c>
      <c r="O100" s="60">
        <f t="shared" si="15"/>
        <v>391.3</v>
      </c>
      <c r="P100" s="60">
        <f t="shared" si="15"/>
        <v>442.6</v>
      </c>
      <c r="Q100" s="60">
        <f t="shared" si="15"/>
        <v>419.7</v>
      </c>
      <c r="R100" s="60">
        <f t="shared" si="15"/>
        <v>423.5</v>
      </c>
      <c r="S100" s="60">
        <f t="shared" si="15"/>
        <v>411.1</v>
      </c>
      <c r="T100" s="60">
        <f t="shared" si="15"/>
        <v>430.6</v>
      </c>
      <c r="U100" s="60">
        <f t="shared" si="15"/>
        <v>485.59999999999997</v>
      </c>
      <c r="V100" s="60">
        <f t="shared" si="15"/>
        <v>446</v>
      </c>
      <c r="W100" s="60">
        <f t="shared" si="15"/>
        <v>471.3</v>
      </c>
      <c r="X100" s="60">
        <f t="shared" si="15"/>
        <v>495</v>
      </c>
      <c r="Y100" s="60">
        <f t="shared" si="15"/>
        <v>410.8</v>
      </c>
      <c r="Z100" s="60">
        <f t="shared" si="15"/>
        <v>398.4</v>
      </c>
      <c r="AA100" s="60">
        <f t="shared" si="15"/>
        <v>422.8</v>
      </c>
      <c r="AB100" s="60">
        <f t="shared" si="15"/>
        <v>0</v>
      </c>
      <c r="AC100" s="60">
        <f t="shared" si="15"/>
        <v>414</v>
      </c>
      <c r="AD100" s="60">
        <f t="shared" si="15"/>
        <v>426</v>
      </c>
      <c r="AE100" s="60">
        <f t="shared" si="15"/>
        <v>412</v>
      </c>
      <c r="AF100" s="60">
        <f t="shared" si="15"/>
        <v>375</v>
      </c>
      <c r="AG100" s="87"/>
      <c r="AH100" s="47">
        <f t="shared" si="8"/>
        <v>536.79999999999995</v>
      </c>
      <c r="AI100" s="48">
        <f t="shared" si="9"/>
        <v>0</v>
      </c>
    </row>
    <row r="101" spans="1:37" x14ac:dyDescent="0.25">
      <c r="A101" s="99" t="s">
        <v>109</v>
      </c>
      <c r="B101" s="100">
        <v>50.073999999999998</v>
      </c>
      <c r="C101" s="100">
        <v>50.024000000000001</v>
      </c>
      <c r="D101" s="100">
        <v>50.021000000000001</v>
      </c>
      <c r="E101" s="100">
        <v>50</v>
      </c>
      <c r="F101" s="100">
        <v>49.991999999999997</v>
      </c>
      <c r="G101" s="100">
        <v>49.973999999999997</v>
      </c>
      <c r="H101" s="100">
        <v>49.945</v>
      </c>
      <c r="I101" s="100">
        <v>50.055999999999997</v>
      </c>
      <c r="J101" s="100">
        <v>50</v>
      </c>
      <c r="K101" s="100">
        <v>50.4</v>
      </c>
      <c r="L101" s="100">
        <v>50.033999999999999</v>
      </c>
      <c r="M101" s="100">
        <v>50.097999999999999</v>
      </c>
      <c r="N101" s="100">
        <v>49.95</v>
      </c>
      <c r="O101" s="100">
        <v>49.987000000000002</v>
      </c>
      <c r="P101" s="100">
        <v>49.994999999999997</v>
      </c>
      <c r="Q101" s="100">
        <v>49.997999999999998</v>
      </c>
      <c r="R101" s="100">
        <v>49.963999999999999</v>
      </c>
      <c r="S101" s="100">
        <v>49.942999999999998</v>
      </c>
      <c r="T101" s="100">
        <v>49.95</v>
      </c>
      <c r="U101" s="100">
        <v>50.006999999999998</v>
      </c>
      <c r="V101" s="100">
        <v>50.063000000000002</v>
      </c>
      <c r="W101" s="100">
        <v>49.965000000000003</v>
      </c>
      <c r="X101" s="100">
        <v>49.98</v>
      </c>
      <c r="Y101" s="100">
        <v>50.036999999999999</v>
      </c>
      <c r="Z101" s="100">
        <v>50.006</v>
      </c>
      <c r="AA101" s="100">
        <v>50.033999999999999</v>
      </c>
      <c r="AB101" s="100"/>
      <c r="AC101" s="100">
        <v>50.04</v>
      </c>
      <c r="AD101" s="100">
        <v>50.026000000000003</v>
      </c>
      <c r="AE101" s="100">
        <v>50.06</v>
      </c>
      <c r="AF101" s="100">
        <v>50.04</v>
      </c>
      <c r="AG101" s="101"/>
      <c r="AH101" s="47">
        <f t="shared" si="8"/>
        <v>50.4</v>
      </c>
      <c r="AI101" s="48">
        <f t="shared" si="9"/>
        <v>49.942999999999998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130.9</v>
      </c>
      <c r="C103" s="64">
        <v>131.30000000000001</v>
      </c>
      <c r="D103" s="64">
        <v>130.80000000000001</v>
      </c>
      <c r="E103" s="64">
        <v>130.80000000000001</v>
      </c>
      <c r="F103" s="64">
        <v>130.80000000000001</v>
      </c>
      <c r="G103" s="64">
        <v>130.80000000000001</v>
      </c>
      <c r="H103" s="64">
        <v>131.9</v>
      </c>
      <c r="I103" s="64">
        <v>131.9</v>
      </c>
      <c r="J103" s="64">
        <v>129.5</v>
      </c>
      <c r="K103" s="64">
        <v>129.5</v>
      </c>
      <c r="L103" s="64">
        <v>129.5</v>
      </c>
      <c r="M103" s="64">
        <v>127.2</v>
      </c>
      <c r="N103" s="64">
        <v>128</v>
      </c>
      <c r="O103" s="64">
        <v>126.5</v>
      </c>
      <c r="P103" s="64">
        <v>126.5</v>
      </c>
      <c r="Q103" s="64">
        <v>127.5</v>
      </c>
      <c r="R103" s="64">
        <v>128</v>
      </c>
      <c r="S103" s="64">
        <v>124.6</v>
      </c>
      <c r="T103" s="64">
        <v>125.6</v>
      </c>
      <c r="U103" s="64">
        <v>127.8</v>
      </c>
      <c r="V103" s="64">
        <v>127.8</v>
      </c>
      <c r="W103" s="64">
        <v>127.6</v>
      </c>
      <c r="X103" s="64">
        <v>128</v>
      </c>
      <c r="Y103" s="64">
        <v>129</v>
      </c>
      <c r="Z103" s="64">
        <v>127.98</v>
      </c>
      <c r="AA103" s="64">
        <v>124.9</v>
      </c>
      <c r="AB103" s="64"/>
      <c r="AC103" s="64">
        <v>128.5</v>
      </c>
      <c r="AD103" s="64">
        <v>128.19999999999999</v>
      </c>
      <c r="AE103" s="64">
        <v>128.19999999999999</v>
      </c>
      <c r="AF103" s="64">
        <v>130.5</v>
      </c>
      <c r="AG103" s="103"/>
      <c r="AH103" s="47">
        <f t="shared" si="8"/>
        <v>131.9</v>
      </c>
      <c r="AI103" s="48">
        <f t="shared" si="9"/>
        <v>124.6</v>
      </c>
    </row>
    <row r="104" spans="1:37" x14ac:dyDescent="0.25">
      <c r="A104" s="102" t="s">
        <v>112</v>
      </c>
      <c r="B104" s="64">
        <v>128.30000000000001</v>
      </c>
      <c r="C104" s="64">
        <v>130</v>
      </c>
      <c r="D104" s="64">
        <v>129</v>
      </c>
      <c r="E104" s="64">
        <v>129</v>
      </c>
      <c r="F104" s="64">
        <v>129</v>
      </c>
      <c r="G104" s="64">
        <v>129</v>
      </c>
      <c r="H104" s="64">
        <v>131</v>
      </c>
      <c r="I104" s="64">
        <v>131</v>
      </c>
      <c r="J104" s="64">
        <v>129.9</v>
      </c>
      <c r="K104" s="64">
        <v>129.9</v>
      </c>
      <c r="L104" s="64">
        <v>129.9</v>
      </c>
      <c r="M104" s="64">
        <v>125.9</v>
      </c>
      <c r="N104" s="64">
        <v>127.3</v>
      </c>
      <c r="O104" s="64">
        <v>127.5</v>
      </c>
      <c r="P104" s="64">
        <v>127.5</v>
      </c>
      <c r="Q104" s="64">
        <v>128.69999999999999</v>
      </c>
      <c r="R104" s="64">
        <v>129.1</v>
      </c>
      <c r="S104" s="64">
        <v>129.1</v>
      </c>
      <c r="T104" s="64">
        <v>129.4</v>
      </c>
      <c r="U104" s="64">
        <v>129.19999999999999</v>
      </c>
      <c r="V104" s="64">
        <v>131.19999999999999</v>
      </c>
      <c r="W104" s="64">
        <v>131.6</v>
      </c>
      <c r="X104" s="64">
        <v>130</v>
      </c>
      <c r="Y104" s="64">
        <v>128.69999999999999</v>
      </c>
      <c r="Z104" s="64">
        <v>128</v>
      </c>
      <c r="AA104" s="64">
        <v>128.5</v>
      </c>
      <c r="AB104" s="64"/>
      <c r="AC104" s="64">
        <v>129.4</v>
      </c>
      <c r="AD104" s="64">
        <v>128.5</v>
      </c>
      <c r="AE104" s="64">
        <v>128.5</v>
      </c>
      <c r="AF104" s="64">
        <v>129.5</v>
      </c>
      <c r="AG104" s="103"/>
      <c r="AH104" s="47">
        <f t="shared" si="8"/>
        <v>131.6</v>
      </c>
      <c r="AI104" s="48">
        <f t="shared" si="9"/>
        <v>125.9</v>
      </c>
    </row>
    <row r="105" spans="1:37" x14ac:dyDescent="0.25">
      <c r="A105" s="104" t="s">
        <v>113</v>
      </c>
      <c r="B105" s="64">
        <v>133.1</v>
      </c>
      <c r="C105" s="64">
        <v>132.30000000000001</v>
      </c>
      <c r="D105" s="64">
        <v>132.69999999999999</v>
      </c>
      <c r="E105" s="64">
        <v>132.69999999999999</v>
      </c>
      <c r="F105" s="64">
        <v>132.69999999999999</v>
      </c>
      <c r="G105" s="64">
        <v>132.69999999999999</v>
      </c>
      <c r="H105" s="64">
        <v>134.5</v>
      </c>
      <c r="I105" s="64">
        <v>134.5</v>
      </c>
      <c r="J105" s="64">
        <v>132</v>
      </c>
      <c r="K105" s="64">
        <v>132</v>
      </c>
      <c r="L105" s="64">
        <v>132</v>
      </c>
      <c r="M105" s="64">
        <v>130.4</v>
      </c>
      <c r="N105" s="64">
        <v>131.5</v>
      </c>
      <c r="O105" s="64">
        <v>131.9</v>
      </c>
      <c r="P105" s="64">
        <v>131.30000000000001</v>
      </c>
      <c r="Q105" s="64">
        <v>130.19999999999999</v>
      </c>
      <c r="R105" s="64">
        <v>132.4</v>
      </c>
      <c r="S105" s="64">
        <v>132.4</v>
      </c>
      <c r="T105" s="64">
        <v>131.6</v>
      </c>
      <c r="U105" s="64">
        <v>130.4</v>
      </c>
      <c r="V105" s="64">
        <v>133.1</v>
      </c>
      <c r="W105" s="64">
        <v>134.1</v>
      </c>
      <c r="X105" s="64">
        <v>132</v>
      </c>
      <c r="Y105" s="64">
        <v>129.80000000000001</v>
      </c>
      <c r="Z105" s="64">
        <v>130.1</v>
      </c>
      <c r="AA105" s="64">
        <v>130.80000000000001</v>
      </c>
      <c r="AB105" s="64"/>
      <c r="AC105" s="64">
        <v>131.9</v>
      </c>
      <c r="AD105" s="64">
        <v>130</v>
      </c>
      <c r="AE105" s="64">
        <v>130</v>
      </c>
      <c r="AF105" s="64">
        <v>133</v>
      </c>
      <c r="AG105" s="103"/>
      <c r="AH105" s="47">
        <f t="shared" si="8"/>
        <v>134.5</v>
      </c>
      <c r="AI105" s="48">
        <f t="shared" si="9"/>
        <v>129.80000000000001</v>
      </c>
    </row>
    <row r="106" spans="1:37" x14ac:dyDescent="0.25">
      <c r="A106" s="104" t="s">
        <v>114</v>
      </c>
      <c r="B106" s="105">
        <v>129.5</v>
      </c>
      <c r="C106" s="105">
        <v>130</v>
      </c>
      <c r="D106" s="105">
        <v>130.69999999999999</v>
      </c>
      <c r="E106" s="105">
        <v>130.69999999999999</v>
      </c>
      <c r="F106" s="105">
        <v>130.69999999999999</v>
      </c>
      <c r="G106" s="105">
        <v>130.69999999999999</v>
      </c>
      <c r="H106" s="105">
        <v>133</v>
      </c>
      <c r="I106" s="105">
        <v>133</v>
      </c>
      <c r="J106" s="105">
        <v>131.69999999999999</v>
      </c>
      <c r="K106" s="105">
        <v>131.69999999999999</v>
      </c>
      <c r="L106" s="105">
        <v>131.69999999999999</v>
      </c>
      <c r="M106" s="105">
        <v>131.19999999999999</v>
      </c>
      <c r="N106" s="105">
        <v>134.6</v>
      </c>
      <c r="O106" s="105">
        <v>133.69999999999999</v>
      </c>
      <c r="P106" s="105">
        <v>130.80000000000001</v>
      </c>
      <c r="Q106" s="105">
        <v>133.9</v>
      </c>
      <c r="R106" s="105">
        <v>133.6</v>
      </c>
      <c r="S106" s="105">
        <v>133.6</v>
      </c>
      <c r="T106" s="105">
        <v>135.19999999999999</v>
      </c>
      <c r="U106" s="105">
        <v>133.69999999999999</v>
      </c>
      <c r="V106" s="105">
        <v>135.69999999999999</v>
      </c>
      <c r="W106" s="105">
        <v>135.69999999999999</v>
      </c>
      <c r="X106" s="105">
        <v>136.5</v>
      </c>
      <c r="Y106" s="105">
        <v>134.69999999999999</v>
      </c>
      <c r="Z106" s="105">
        <v>131.4</v>
      </c>
      <c r="AA106" s="105">
        <v>129.4</v>
      </c>
      <c r="AB106" s="105"/>
      <c r="AC106" s="105">
        <v>131.6</v>
      </c>
      <c r="AD106" s="105">
        <v>131.69999999999999</v>
      </c>
      <c r="AE106" s="105">
        <v>131.69999999999999</v>
      </c>
      <c r="AF106" s="105">
        <v>130.80000000000001</v>
      </c>
      <c r="AG106" s="106"/>
      <c r="AH106" s="47">
        <f t="shared" si="8"/>
        <v>136.5</v>
      </c>
      <c r="AI106" s="48">
        <f t="shared" si="9"/>
        <v>129.4</v>
      </c>
    </row>
    <row r="107" spans="1:37" x14ac:dyDescent="0.25">
      <c r="A107" s="102" t="s">
        <v>115</v>
      </c>
      <c r="B107" s="64">
        <v>129.80000000000001</v>
      </c>
      <c r="C107" s="64">
        <v>129.5</v>
      </c>
      <c r="D107" s="64">
        <v>130.80000000000001</v>
      </c>
      <c r="E107" s="64">
        <v>130.80000000000001</v>
      </c>
      <c r="F107" s="64">
        <v>130.80000000000001</v>
      </c>
      <c r="G107" s="64">
        <v>130.80000000000001</v>
      </c>
      <c r="H107" s="64">
        <v>132.9</v>
      </c>
      <c r="I107" s="64">
        <v>132.9</v>
      </c>
      <c r="J107" s="64">
        <v>130.6</v>
      </c>
      <c r="K107" s="64">
        <v>130.6</v>
      </c>
      <c r="L107" s="64">
        <v>130.6</v>
      </c>
      <c r="M107" s="64">
        <v>131.5</v>
      </c>
      <c r="N107" s="64">
        <v>125.9</v>
      </c>
      <c r="O107" s="64">
        <v>132.19999999999999</v>
      </c>
      <c r="P107" s="64">
        <v>129.9</v>
      </c>
      <c r="Q107" s="64">
        <v>132</v>
      </c>
      <c r="R107" s="64">
        <v>128.4</v>
      </c>
      <c r="S107" s="64">
        <v>128.4</v>
      </c>
      <c r="T107" s="64">
        <v>52</v>
      </c>
      <c r="U107" s="64">
        <v>129.30000000000001</v>
      </c>
      <c r="V107" s="64">
        <v>133.80000000000001</v>
      </c>
      <c r="W107" s="64">
        <v>131.69999999999999</v>
      </c>
      <c r="X107" s="64">
        <v>132.9</v>
      </c>
      <c r="Y107" s="64">
        <v>134.1</v>
      </c>
      <c r="Z107" s="64">
        <v>127.5</v>
      </c>
      <c r="AA107" s="64">
        <v>126.1</v>
      </c>
      <c r="AB107" s="64"/>
      <c r="AC107" s="64">
        <v>128</v>
      </c>
      <c r="AD107" s="64">
        <v>129</v>
      </c>
      <c r="AE107" s="64">
        <v>129</v>
      </c>
      <c r="AF107" s="64">
        <v>132</v>
      </c>
      <c r="AG107" s="103"/>
      <c r="AH107" s="47">
        <f t="shared" si="8"/>
        <v>134.1</v>
      </c>
      <c r="AI107" s="48">
        <f t="shared" si="9"/>
        <v>52</v>
      </c>
    </row>
    <row r="108" spans="1:37" ht="15.75" thickBot="1" x14ac:dyDescent="0.3">
      <c r="A108" s="102" t="s">
        <v>116</v>
      </c>
      <c r="B108" s="91">
        <v>65.5</v>
      </c>
      <c r="C108" s="91">
        <v>65.8</v>
      </c>
      <c r="D108" s="91">
        <v>65.7</v>
      </c>
      <c r="E108" s="91">
        <v>65.7</v>
      </c>
      <c r="F108" s="91">
        <v>65.7</v>
      </c>
      <c r="G108" s="91">
        <v>65.7</v>
      </c>
      <c r="H108" s="91">
        <v>65.900000000000006</v>
      </c>
      <c r="I108" s="91">
        <v>65.900000000000006</v>
      </c>
      <c r="J108" s="91">
        <v>64.7</v>
      </c>
      <c r="K108" s="91">
        <v>64.7</v>
      </c>
      <c r="L108" s="91">
        <v>64.7</v>
      </c>
      <c r="M108" s="91">
        <v>63.9</v>
      </c>
      <c r="N108" s="91">
        <v>63.9</v>
      </c>
      <c r="O108" s="91">
        <v>63.3</v>
      </c>
      <c r="P108" s="91">
        <v>63.1</v>
      </c>
      <c r="Q108" s="91">
        <v>63.5</v>
      </c>
      <c r="R108" s="91">
        <v>63.7</v>
      </c>
      <c r="S108" s="91">
        <v>63.7</v>
      </c>
      <c r="T108" s="91">
        <v>62.5</v>
      </c>
      <c r="U108" s="91">
        <v>63.7</v>
      </c>
      <c r="V108" s="91">
        <v>63.7</v>
      </c>
      <c r="W108" s="91">
        <v>63.6</v>
      </c>
      <c r="X108" s="91">
        <v>63.7</v>
      </c>
      <c r="Y108" s="91">
        <v>64.5</v>
      </c>
      <c r="Z108" s="91">
        <v>64.099999999999994</v>
      </c>
      <c r="AA108" s="91">
        <v>63.1</v>
      </c>
      <c r="AB108" s="91"/>
      <c r="AC108" s="91">
        <v>64.5</v>
      </c>
      <c r="AD108" s="91">
        <v>64.5</v>
      </c>
      <c r="AE108" s="91">
        <v>64.5</v>
      </c>
      <c r="AF108" s="91">
        <v>65.400000000000006</v>
      </c>
      <c r="AG108" s="107"/>
      <c r="AH108" s="47">
        <f t="shared" si="8"/>
        <v>65.900000000000006</v>
      </c>
      <c r="AI108" s="48">
        <f t="shared" si="9"/>
        <v>62.5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6">SUM(B20,B26,B29:B30,B58,B60:B61,B63,B65,B111:B115,B138,B144,B150,B159,B161,B173,B180,B183:B184,B191,B193,B195,B199:B201,B203:B205,B210,B216:B217,B219:B221,B229,B234)</f>
        <v>65.099999999999994</v>
      </c>
      <c r="C110" s="110">
        <f t="shared" si="16"/>
        <v>63.939999999999969</v>
      </c>
      <c r="D110" s="110">
        <f t="shared" si="16"/>
        <v>48.639999999999979</v>
      </c>
      <c r="E110" s="110">
        <f t="shared" si="16"/>
        <v>53.839999999999975</v>
      </c>
      <c r="F110" s="110">
        <f t="shared" si="16"/>
        <v>48.34</v>
      </c>
      <c r="G110" s="110">
        <f t="shared" si="16"/>
        <v>64.539999999999978</v>
      </c>
      <c r="H110" s="110">
        <f t="shared" si="16"/>
        <v>85.440000000000026</v>
      </c>
      <c r="I110" s="110">
        <f t="shared" si="16"/>
        <v>117.53999999999998</v>
      </c>
      <c r="J110" s="110">
        <f t="shared" si="16"/>
        <v>117.43999999999998</v>
      </c>
      <c r="K110" s="110">
        <f t="shared" si="16"/>
        <v>194.63999999999996</v>
      </c>
      <c r="L110" s="110">
        <f t="shared" si="16"/>
        <v>206.93999999999997</v>
      </c>
      <c r="M110" s="110">
        <f t="shared" si="16"/>
        <v>211.54000000000002</v>
      </c>
      <c r="N110" s="110">
        <f t="shared" si="16"/>
        <v>191.93999999999997</v>
      </c>
      <c r="O110" s="110">
        <f t="shared" si="16"/>
        <v>217.14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175.7</v>
      </c>
      <c r="R110" s="110">
        <f t="shared" si="17"/>
        <v>202.9</v>
      </c>
      <c r="S110" s="110">
        <f t="shared" si="17"/>
        <v>185.79999999999998</v>
      </c>
      <c r="T110" s="110">
        <f t="shared" si="17"/>
        <v>199.8</v>
      </c>
      <c r="U110" s="110">
        <f t="shared" si="17"/>
        <v>196.90000000000003</v>
      </c>
      <c r="V110" s="110">
        <f t="shared" si="17"/>
        <v>214.8</v>
      </c>
      <c r="W110" s="110">
        <f t="shared" si="17"/>
        <v>217.39999999999998</v>
      </c>
      <c r="X110" s="110">
        <f t="shared" si="17"/>
        <v>207.70000000000005</v>
      </c>
      <c r="Y110" s="110">
        <f t="shared" si="17"/>
        <v>271.8</v>
      </c>
      <c r="Z110" s="110">
        <f t="shared" si="17"/>
        <v>306.5</v>
      </c>
      <c r="AA110" s="110">
        <f t="shared" si="17"/>
        <v>286.60000000000002</v>
      </c>
      <c r="AB110" s="110">
        <f t="shared" si="17"/>
        <v>171.5</v>
      </c>
      <c r="AC110" s="110">
        <f t="shared" si="17"/>
        <v>214.4</v>
      </c>
      <c r="AD110" s="110"/>
      <c r="AE110" s="110">
        <f t="shared" si="17"/>
        <v>147.5</v>
      </c>
      <c r="AF110" s="110">
        <f t="shared" si="17"/>
        <v>65</v>
      </c>
      <c r="AG110" s="111"/>
      <c r="AH110" s="47">
        <f t="shared" si="8"/>
        <v>306.5</v>
      </c>
      <c r="AI110" s="48">
        <f t="shared" si="9"/>
        <v>42</v>
      </c>
    </row>
    <row r="111" spans="1:37" x14ac:dyDescent="0.25">
      <c r="A111" s="99" t="s">
        <v>119</v>
      </c>
      <c r="B111" s="112">
        <v>14.1</v>
      </c>
      <c r="C111" s="112">
        <v>8.5</v>
      </c>
      <c r="D111" s="112">
        <v>7.4</v>
      </c>
      <c r="E111" s="112">
        <v>7.6</v>
      </c>
      <c r="F111" s="112">
        <v>11</v>
      </c>
      <c r="G111" s="112">
        <v>11.2</v>
      </c>
      <c r="H111" s="112">
        <v>16</v>
      </c>
      <c r="I111" s="112">
        <v>22.6</v>
      </c>
      <c r="J111" s="112">
        <v>22.6</v>
      </c>
      <c r="K111" s="112">
        <v>34.799999999999997</v>
      </c>
      <c r="L111" s="112">
        <v>37</v>
      </c>
      <c r="M111" s="112">
        <v>38.700000000000003</v>
      </c>
      <c r="N111" s="112">
        <v>40.200000000000003</v>
      </c>
      <c r="O111" s="112">
        <v>42.7</v>
      </c>
      <c r="P111" s="112">
        <v>40.4</v>
      </c>
      <c r="Q111" s="112">
        <v>32.6</v>
      </c>
      <c r="R111" s="112">
        <v>33.200000000000003</v>
      </c>
      <c r="S111" s="112">
        <v>48.6</v>
      </c>
      <c r="T111" s="112">
        <v>38.200000000000003</v>
      </c>
      <c r="U111" s="112">
        <v>41.9</v>
      </c>
      <c r="V111" s="112">
        <v>49.7</v>
      </c>
      <c r="W111" s="112">
        <v>47.6</v>
      </c>
      <c r="X111" s="112">
        <v>51.9</v>
      </c>
      <c r="Y111" s="112">
        <v>51.5</v>
      </c>
      <c r="Z111" s="112">
        <v>62.4</v>
      </c>
      <c r="AA111" s="112">
        <v>85.5</v>
      </c>
      <c r="AB111" s="112"/>
      <c r="AC111" s="112">
        <v>37</v>
      </c>
      <c r="AD111" s="112">
        <v>40</v>
      </c>
      <c r="AE111" s="112">
        <v>28</v>
      </c>
      <c r="AF111" s="112">
        <v>6</v>
      </c>
      <c r="AG111" s="113">
        <v>75</v>
      </c>
      <c r="AH111" s="47">
        <f t="shared" si="8"/>
        <v>85.5</v>
      </c>
      <c r="AI111" s="48">
        <f t="shared" si="9"/>
        <v>6</v>
      </c>
    </row>
    <row r="112" spans="1:37" x14ac:dyDescent="0.25">
      <c r="A112" s="102" t="s">
        <v>120</v>
      </c>
      <c r="B112" s="114">
        <v>22.4</v>
      </c>
      <c r="C112" s="114">
        <v>13.2</v>
      </c>
      <c r="D112" s="114">
        <v>12.2</v>
      </c>
      <c r="E112" s="114">
        <v>14.6</v>
      </c>
      <c r="F112" s="114">
        <v>17.5</v>
      </c>
      <c r="G112" s="114">
        <v>17.5</v>
      </c>
      <c r="H112" s="114">
        <v>23.5</v>
      </c>
      <c r="I112" s="114">
        <v>32</v>
      </c>
      <c r="J112" s="114">
        <v>32</v>
      </c>
      <c r="K112" s="114">
        <v>43.6</v>
      </c>
      <c r="L112" s="114">
        <v>44.5</v>
      </c>
      <c r="M112" s="114">
        <v>46.2</v>
      </c>
      <c r="N112" s="114">
        <v>49.4</v>
      </c>
      <c r="O112" s="114">
        <v>52.5</v>
      </c>
      <c r="P112" s="114">
        <v>49.9</v>
      </c>
      <c r="Q112" s="114">
        <v>40</v>
      </c>
      <c r="R112" s="114">
        <v>43.1</v>
      </c>
      <c r="S112" s="114">
        <v>67.8</v>
      </c>
      <c r="T112" s="114">
        <v>52.1</v>
      </c>
      <c r="U112" s="114">
        <v>60</v>
      </c>
      <c r="V112" s="114">
        <v>71.5</v>
      </c>
      <c r="W112" s="114">
        <v>66.900000000000006</v>
      </c>
      <c r="X112" s="114">
        <v>72.900000000000006</v>
      </c>
      <c r="Y112" s="114">
        <v>70.5</v>
      </c>
      <c r="Z112" s="114">
        <v>89</v>
      </c>
      <c r="AA112" s="114">
        <v>123.6</v>
      </c>
      <c r="AB112" s="114"/>
      <c r="AC112" s="114">
        <v>49</v>
      </c>
      <c r="AD112" s="114">
        <v>54</v>
      </c>
      <c r="AE112" s="114">
        <v>38</v>
      </c>
      <c r="AF112" s="114">
        <v>11</v>
      </c>
      <c r="AG112" s="113">
        <v>240</v>
      </c>
      <c r="AH112" s="47">
        <f t="shared" si="8"/>
        <v>123.6</v>
      </c>
      <c r="AI112" s="48">
        <f t="shared" si="9"/>
        <v>11</v>
      </c>
    </row>
    <row r="113" spans="1:37" x14ac:dyDescent="0.25">
      <c r="A113" s="102" t="s">
        <v>121</v>
      </c>
      <c r="B113" s="114">
        <v>-132</v>
      </c>
      <c r="C113" s="114">
        <v>-120</v>
      </c>
      <c r="D113" s="114">
        <v>-120</v>
      </c>
      <c r="E113" s="114">
        <v>-131</v>
      </c>
      <c r="F113" s="114">
        <v>-124</v>
      </c>
      <c r="G113" s="114">
        <v>-118</v>
      </c>
      <c r="H113" s="114">
        <v>-110</v>
      </c>
      <c r="I113" s="114">
        <v>-96</v>
      </c>
      <c r="J113" s="114">
        <v>-96</v>
      </c>
      <c r="K113" s="114">
        <v>-65.900000000000006</v>
      </c>
      <c r="L113" s="114">
        <v>-38</v>
      </c>
      <c r="M113" s="114">
        <f>-15-16</f>
        <v>-31</v>
      </c>
      <c r="N113" s="114">
        <f>-20.7-22</f>
        <v>-42.7</v>
      </c>
      <c r="O113" s="114">
        <f>-20-22.8</f>
        <v>-42.8</v>
      </c>
      <c r="P113" s="114">
        <f>-19.8-23</f>
        <v>-42.8</v>
      </c>
      <c r="Q113" s="114">
        <f>-32-35</f>
        <v>-67</v>
      </c>
      <c r="R113" s="114">
        <f>-34.8-37.1</f>
        <v>-71.900000000000006</v>
      </c>
      <c r="S113" s="114">
        <v>-119.9</v>
      </c>
      <c r="T113" s="114">
        <v>-90</v>
      </c>
      <c r="U113" s="114">
        <v>-104</v>
      </c>
      <c r="V113" s="114">
        <v>-118</v>
      </c>
      <c r="W113" s="114">
        <v>-112</v>
      </c>
      <c r="X113" s="114">
        <v>-129</v>
      </c>
      <c r="Y113" s="114">
        <v>-88</v>
      </c>
      <c r="Z113" s="114">
        <v>-99</v>
      </c>
      <c r="AA113" s="114">
        <v>-167</v>
      </c>
      <c r="AB113" s="114"/>
      <c r="AC113" s="114">
        <v>-90</v>
      </c>
      <c r="AD113" s="114">
        <v>-97</v>
      </c>
      <c r="AE113" s="114">
        <v>-112</v>
      </c>
      <c r="AF113" s="114">
        <v>-105</v>
      </c>
      <c r="AG113" s="113">
        <v>240</v>
      </c>
      <c r="AH113" s="47">
        <f t="shared" si="8"/>
        <v>-31</v>
      </c>
      <c r="AI113" s="48">
        <f t="shared" si="9"/>
        <v>-167</v>
      </c>
    </row>
    <row r="114" spans="1:37" x14ac:dyDescent="0.25">
      <c r="A114" s="102" t="s">
        <v>122</v>
      </c>
      <c r="B114" s="114">
        <v>-3.2</v>
      </c>
      <c r="C114" s="114">
        <v>-2.7</v>
      </c>
      <c r="D114" s="114">
        <v>-3.6</v>
      </c>
      <c r="E114" s="114">
        <v>-4</v>
      </c>
      <c r="F114" s="114">
        <v>-4.4000000000000004</v>
      </c>
      <c r="G114" s="114">
        <v>-1.6</v>
      </c>
      <c r="H114" s="114">
        <v>0.4</v>
      </c>
      <c r="I114" s="114">
        <v>-2.2000000000000002</v>
      </c>
      <c r="J114" s="114">
        <v>-2.2000000000000002</v>
      </c>
      <c r="K114" s="114">
        <v>8.6</v>
      </c>
      <c r="L114" s="114">
        <v>13.6</v>
      </c>
      <c r="M114" s="114">
        <v>12.8</v>
      </c>
      <c r="N114" s="114">
        <v>10.6</v>
      </c>
      <c r="O114" s="114">
        <v>10.3</v>
      </c>
      <c r="P114" s="114">
        <v>12.7</v>
      </c>
      <c r="Q114" s="114">
        <v>10.5</v>
      </c>
      <c r="R114" s="114">
        <v>10.8</v>
      </c>
      <c r="S114" s="114">
        <v>8.8000000000000007</v>
      </c>
      <c r="T114" s="114">
        <v>10</v>
      </c>
      <c r="U114" s="114">
        <v>14</v>
      </c>
      <c r="V114" s="114">
        <v>4.9000000000000004</v>
      </c>
      <c r="W114" s="114">
        <v>9</v>
      </c>
      <c r="X114" s="114">
        <v>7</v>
      </c>
      <c r="Y114" s="114">
        <v>34</v>
      </c>
      <c r="Z114" s="114">
        <v>31</v>
      </c>
      <c r="AA114" s="114">
        <v>15</v>
      </c>
      <c r="AB114" s="114"/>
      <c r="AC114" s="114">
        <v>4</v>
      </c>
      <c r="AD114" s="114">
        <v>7</v>
      </c>
      <c r="AE114" s="114">
        <v>4</v>
      </c>
      <c r="AF114" s="114">
        <v>3</v>
      </c>
      <c r="AG114" s="113">
        <v>60</v>
      </c>
      <c r="AH114" s="47">
        <f t="shared" si="8"/>
        <v>34</v>
      </c>
      <c r="AI114" s="48">
        <f t="shared" si="9"/>
        <v>-4.4000000000000004</v>
      </c>
    </row>
    <row r="115" spans="1:37" x14ac:dyDescent="0.25">
      <c r="A115" s="115" t="s">
        <v>123</v>
      </c>
      <c r="B115" s="116">
        <v>28.6</v>
      </c>
      <c r="C115" s="116">
        <v>28.8</v>
      </c>
      <c r="D115" s="116">
        <v>24.5</v>
      </c>
      <c r="E115" s="116">
        <v>24.5</v>
      </c>
      <c r="F115" s="116">
        <v>19.3</v>
      </c>
      <c r="G115" s="116">
        <v>19.3</v>
      </c>
      <c r="H115" s="116">
        <v>19</v>
      </c>
      <c r="I115" s="116">
        <v>23</v>
      </c>
      <c r="J115" s="116">
        <v>23</v>
      </c>
      <c r="K115" s="116">
        <v>23.7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23.1</v>
      </c>
      <c r="S115" s="116">
        <v>20.5</v>
      </c>
      <c r="T115" s="116">
        <v>20</v>
      </c>
      <c r="U115" s="116">
        <v>19.3</v>
      </c>
      <c r="V115" s="116">
        <v>53.8</v>
      </c>
      <c r="W115" s="116">
        <v>53</v>
      </c>
      <c r="X115" s="116">
        <v>53</v>
      </c>
      <c r="Y115" s="116">
        <v>52.3</v>
      </c>
      <c r="Z115" s="116">
        <v>51.6</v>
      </c>
      <c r="AA115" s="116">
        <v>58</v>
      </c>
      <c r="AB115" s="116"/>
      <c r="AC115" s="116">
        <v>42.9</v>
      </c>
      <c r="AD115" s="116">
        <v>43</v>
      </c>
      <c r="AE115" s="116">
        <v>18</v>
      </c>
      <c r="AF115" s="116">
        <v>18</v>
      </c>
      <c r="AG115" s="117">
        <v>120</v>
      </c>
      <c r="AH115" s="47">
        <f t="shared" si="8"/>
        <v>58</v>
      </c>
      <c r="AI115" s="48">
        <f t="shared" si="9"/>
        <v>0</v>
      </c>
    </row>
    <row r="116" spans="1:37" x14ac:dyDescent="0.25">
      <c r="A116" s="115" t="s">
        <v>124</v>
      </c>
      <c r="B116" s="116">
        <v>4.8</v>
      </c>
      <c r="C116" s="116">
        <v>10.3</v>
      </c>
      <c r="D116" s="116">
        <v>0</v>
      </c>
      <c r="E116" s="116">
        <v>-4.4000000000000004</v>
      </c>
      <c r="F116" s="116">
        <v>4.7</v>
      </c>
      <c r="G116" s="116">
        <v>7.4</v>
      </c>
      <c r="H116" s="116">
        <v>12.4</v>
      </c>
      <c r="I116" s="116">
        <v>10.8</v>
      </c>
      <c r="J116" s="116">
        <v>10.8</v>
      </c>
      <c r="K116" s="116">
        <v>33</v>
      </c>
      <c r="L116" s="116">
        <v>47.2</v>
      </c>
      <c r="M116" s="116">
        <v>45.6</v>
      </c>
      <c r="N116" s="116">
        <v>45</v>
      </c>
      <c r="O116" s="116">
        <v>56.8</v>
      </c>
      <c r="P116" s="116">
        <v>55.2</v>
      </c>
      <c r="Q116" s="116">
        <v>50.7</v>
      </c>
      <c r="R116" s="116">
        <v>52.5</v>
      </c>
      <c r="S116" s="116">
        <v>42.5</v>
      </c>
      <c r="T116" s="116">
        <v>65.2</v>
      </c>
      <c r="U116" s="116">
        <v>50</v>
      </c>
      <c r="V116" s="116">
        <v>39.9</v>
      </c>
      <c r="W116" s="116">
        <v>42</v>
      </c>
      <c r="X116" s="116">
        <v>24</v>
      </c>
      <c r="Y116" s="116">
        <v>40</v>
      </c>
      <c r="Z116" s="116">
        <v>37.6</v>
      </c>
      <c r="AA116" s="116">
        <v>19.3</v>
      </c>
      <c r="AB116" s="116"/>
      <c r="AC116" s="116">
        <v>41</v>
      </c>
      <c r="AD116" s="116">
        <v>28</v>
      </c>
      <c r="AE116" s="116">
        <v>20</v>
      </c>
      <c r="AF116" s="116">
        <v>61</v>
      </c>
      <c r="AG116" s="117"/>
      <c r="AH116" s="47">
        <f t="shared" si="8"/>
        <v>65.2</v>
      </c>
      <c r="AI116" s="48">
        <f t="shared" si="9"/>
        <v>-4.4000000000000004</v>
      </c>
    </row>
    <row r="117" spans="1:37" x14ac:dyDescent="0.25">
      <c r="A117" s="115" t="s">
        <v>125</v>
      </c>
      <c r="B117" s="116">
        <v>-7</v>
      </c>
      <c r="C117" s="116">
        <v>0</v>
      </c>
      <c r="D117" s="116">
        <v>4.5999999999999996</v>
      </c>
      <c r="E117" s="116">
        <v>14.3</v>
      </c>
      <c r="F117" s="116">
        <v>-6.6</v>
      </c>
      <c r="G117" s="116">
        <v>1.6</v>
      </c>
      <c r="H117" s="116">
        <v>-7.3</v>
      </c>
      <c r="I117" s="116">
        <v>-11.3</v>
      </c>
      <c r="J117" s="116">
        <v>-11.3</v>
      </c>
      <c r="K117" s="116">
        <v>-24</v>
      </c>
      <c r="L117" s="116">
        <v>-27</v>
      </c>
      <c r="M117" s="116">
        <v>-32.799999999999997</v>
      </c>
      <c r="N117" s="116">
        <v>-32.5</v>
      </c>
      <c r="O117" s="116">
        <v>-31.4</v>
      </c>
      <c r="P117" s="116">
        <v>-24.9</v>
      </c>
      <c r="Q117" s="116">
        <v>-11.7</v>
      </c>
      <c r="R117" s="116">
        <v>-25.4</v>
      </c>
      <c r="S117" s="116">
        <v>-13.5</v>
      </c>
      <c r="T117" s="116">
        <v>27.1</v>
      </c>
      <c r="U117" s="116">
        <v>29.3</v>
      </c>
      <c r="V117" s="116">
        <v>26.1</v>
      </c>
      <c r="W117" s="116">
        <v>27</v>
      </c>
      <c r="X117" s="116">
        <v>26</v>
      </c>
      <c r="Y117" s="116">
        <v>22.1</v>
      </c>
      <c r="Z117" s="116">
        <v>10</v>
      </c>
      <c r="AA117" s="116">
        <v>-19.3</v>
      </c>
      <c r="AB117" s="116"/>
      <c r="AC117" s="116">
        <v>-25</v>
      </c>
      <c r="AD117" s="116">
        <v>-28</v>
      </c>
      <c r="AE117" s="116">
        <v>-10</v>
      </c>
      <c r="AF117" s="116">
        <v>10</v>
      </c>
      <c r="AG117" s="118"/>
      <c r="AH117" s="47">
        <f t="shared" si="8"/>
        <v>29.3</v>
      </c>
      <c r="AI117" s="48">
        <f t="shared" si="9"/>
        <v>-32.799999999999997</v>
      </c>
    </row>
    <row r="118" spans="1:37" x14ac:dyDescent="0.25">
      <c r="A118" s="119" t="s">
        <v>126</v>
      </c>
      <c r="B118" s="105">
        <v>44.7</v>
      </c>
      <c r="C118" s="105">
        <v>52.5</v>
      </c>
      <c r="D118" s="105">
        <v>54.7</v>
      </c>
      <c r="E118" s="105">
        <v>56</v>
      </c>
      <c r="F118" s="105">
        <v>58.5</v>
      </c>
      <c r="G118" s="105">
        <v>58.3</v>
      </c>
      <c r="H118" s="105">
        <v>59.7</v>
      </c>
      <c r="I118" s="105">
        <v>59.7</v>
      </c>
      <c r="J118" s="105">
        <v>59.7</v>
      </c>
      <c r="K118" s="105">
        <v>44.2</v>
      </c>
      <c r="L118" s="105">
        <v>50</v>
      </c>
      <c r="M118" s="105">
        <v>49.1</v>
      </c>
      <c r="N118" s="105">
        <v>44.3</v>
      </c>
      <c r="O118" s="105">
        <v>46.9</v>
      </c>
      <c r="P118" s="105">
        <v>54.4</v>
      </c>
      <c r="Q118" s="105">
        <v>40.299999999999997</v>
      </c>
      <c r="R118" s="105">
        <v>53.9</v>
      </c>
      <c r="S118" s="105">
        <v>18.5</v>
      </c>
      <c r="T118" s="105">
        <v>38</v>
      </c>
      <c r="U118" s="105">
        <v>39.200000000000003</v>
      </c>
      <c r="V118" s="105">
        <v>37.700000000000003</v>
      </c>
      <c r="W118" s="105">
        <v>41</v>
      </c>
      <c r="X118" s="105">
        <v>30</v>
      </c>
      <c r="Y118" s="105">
        <v>22</v>
      </c>
      <c r="Z118" s="105">
        <v>25</v>
      </c>
      <c r="AA118" s="105">
        <v>25.7</v>
      </c>
      <c r="AB118" s="105"/>
      <c r="AC118" s="105">
        <v>33.9</v>
      </c>
      <c r="AD118" s="105">
        <v>33</v>
      </c>
      <c r="AE118" s="105">
        <v>41</v>
      </c>
      <c r="AF118" s="105">
        <v>47</v>
      </c>
      <c r="AG118" s="118"/>
      <c r="AH118" s="47">
        <f t="shared" si="8"/>
        <v>59.7</v>
      </c>
      <c r="AI118" s="48">
        <f t="shared" si="9"/>
        <v>18.5</v>
      </c>
    </row>
    <row r="119" spans="1:37" x14ac:dyDescent="0.25">
      <c r="A119" s="120" t="s">
        <v>127</v>
      </c>
      <c r="B119" s="105">
        <v>84</v>
      </c>
      <c r="C119" s="105">
        <v>73.8</v>
      </c>
      <c r="D119" s="105">
        <v>71.7</v>
      </c>
      <c r="E119" s="105">
        <v>81.400000000000006</v>
      </c>
      <c r="F119" s="105">
        <v>83</v>
      </c>
      <c r="G119" s="105">
        <v>78.599999999999994</v>
      </c>
      <c r="H119" s="105">
        <v>77.599999999999994</v>
      </c>
      <c r="I119" s="105">
        <v>69.7</v>
      </c>
      <c r="J119" s="105">
        <v>69.7</v>
      </c>
      <c r="K119" s="105">
        <v>56.3</v>
      </c>
      <c r="L119" s="105">
        <v>80</v>
      </c>
      <c r="M119" s="105">
        <v>61.4</v>
      </c>
      <c r="N119" s="105">
        <v>76.099999999999994</v>
      </c>
      <c r="O119" s="105">
        <v>72.099999999999994</v>
      </c>
      <c r="P119" s="105">
        <v>76.099999999999994</v>
      </c>
      <c r="Q119" s="105">
        <v>47.9</v>
      </c>
      <c r="R119" s="105">
        <v>56.7</v>
      </c>
      <c r="S119" s="105">
        <v>52</v>
      </c>
      <c r="T119" s="105">
        <v>45.2</v>
      </c>
      <c r="U119" s="105">
        <v>50</v>
      </c>
      <c r="V119" s="105">
        <v>54.4</v>
      </c>
      <c r="W119" s="105">
        <v>50</v>
      </c>
      <c r="X119" s="105">
        <v>58</v>
      </c>
      <c r="Y119" s="105">
        <v>46</v>
      </c>
      <c r="Z119" s="105">
        <v>60</v>
      </c>
      <c r="AA119" s="105">
        <v>81</v>
      </c>
      <c r="AB119" s="105"/>
      <c r="AC119" s="105">
        <v>72</v>
      </c>
      <c r="AD119" s="105">
        <v>79</v>
      </c>
      <c r="AE119" s="105">
        <v>80</v>
      </c>
      <c r="AF119" s="105">
        <v>80</v>
      </c>
      <c r="AG119" s="118"/>
      <c r="AH119" s="47">
        <f t="shared" si="8"/>
        <v>84</v>
      </c>
      <c r="AI119" s="48">
        <f t="shared" si="9"/>
        <v>45.2</v>
      </c>
    </row>
    <row r="120" spans="1:37" ht="15.75" thickBot="1" x14ac:dyDescent="0.3">
      <c r="A120" s="119" t="s">
        <v>128</v>
      </c>
      <c r="B120" s="105">
        <v>8.1999999999999993</v>
      </c>
      <c r="C120" s="105">
        <v>-5.8</v>
      </c>
      <c r="D120" s="105">
        <v>0.4</v>
      </c>
      <c r="E120" s="105">
        <v>-1.7</v>
      </c>
      <c r="F120" s="105">
        <v>-17.399999999999999</v>
      </c>
      <c r="G120" s="105">
        <v>-13.8</v>
      </c>
      <c r="H120" s="105">
        <v>-11.8</v>
      </c>
      <c r="I120" s="105">
        <v>-14.3</v>
      </c>
      <c r="J120" s="105">
        <v>-14.3</v>
      </c>
      <c r="K120" s="105">
        <v>-3.8</v>
      </c>
      <c r="L120" s="105">
        <v>-2.9</v>
      </c>
      <c r="M120" s="105">
        <v>2</v>
      </c>
      <c r="N120" s="105">
        <v>10.4</v>
      </c>
      <c r="O120" s="105">
        <v>-3.1</v>
      </c>
      <c r="P120" s="105">
        <v>-6.4</v>
      </c>
      <c r="Q120" s="105">
        <v>-0.8</v>
      </c>
      <c r="R120" s="105">
        <v>-3.3</v>
      </c>
      <c r="S120" s="105">
        <v>26.7</v>
      </c>
      <c r="T120" s="105">
        <v>7.4</v>
      </c>
      <c r="U120" s="105">
        <v>0.1</v>
      </c>
      <c r="V120" s="105">
        <v>8.4</v>
      </c>
      <c r="W120" s="105">
        <v>-2</v>
      </c>
      <c r="X120" s="105">
        <v>6</v>
      </c>
      <c r="Y120" s="105">
        <v>24</v>
      </c>
      <c r="Z120" s="105">
        <v>27</v>
      </c>
      <c r="AA120" s="105">
        <v>32</v>
      </c>
      <c r="AB120" s="105"/>
      <c r="AC120" s="105">
        <v>25</v>
      </c>
      <c r="AD120" s="105">
        <v>30</v>
      </c>
      <c r="AE120" s="105">
        <v>17</v>
      </c>
      <c r="AF120" s="105">
        <v>13</v>
      </c>
      <c r="AG120" s="118"/>
      <c r="AH120" s="47">
        <f t="shared" si="8"/>
        <v>32</v>
      </c>
      <c r="AI120" s="48">
        <f t="shared" si="9"/>
        <v>-17.399999999999999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1915.5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1857.4399999999998</v>
      </c>
      <c r="U249" s="170">
        <f t="shared" si="22"/>
        <v>1897.4399999999998</v>
      </c>
      <c r="V249" s="170">
        <f t="shared" si="22"/>
        <v>1841.9399999999998</v>
      </c>
      <c r="W249" s="170">
        <f t="shared" si="22"/>
        <v>1826.14</v>
      </c>
      <c r="X249" s="170">
        <f t="shared" si="22"/>
        <v>1803.74</v>
      </c>
      <c r="Y249" s="170">
        <f t="shared" si="22"/>
        <v>1816.34</v>
      </c>
      <c r="Z249" s="170">
        <f t="shared" si="22"/>
        <v>1845.84</v>
      </c>
      <c r="AA249" s="170">
        <f t="shared" si="22"/>
        <v>1890.31</v>
      </c>
      <c r="AB249" s="170">
        <f t="shared" si="22"/>
        <v>1901.2</v>
      </c>
      <c r="AC249" s="170">
        <f t="shared" si="22"/>
        <v>1897.3999999999999</v>
      </c>
      <c r="AD249" s="170">
        <f t="shared" si="22"/>
        <v>1915.5</v>
      </c>
      <c r="AE249" s="170">
        <f t="shared" si="22"/>
        <v>1881.04</v>
      </c>
      <c r="AF249" s="170">
        <f t="shared" si="22"/>
        <v>1851.84</v>
      </c>
      <c r="AG249" s="170">
        <f t="shared" si="22"/>
        <v>1891.64</v>
      </c>
      <c r="AH249" s="170">
        <f t="shared" si="22"/>
        <v>1925.1399999999999</v>
      </c>
      <c r="AI249" s="170">
        <f t="shared" si="22"/>
        <v>1928.94</v>
      </c>
      <c r="AJ249" s="170">
        <f t="shared" si="22"/>
        <v>1956.6399999999999</v>
      </c>
      <c r="AK249" s="170">
        <f t="shared" si="22"/>
        <v>1926.73</v>
      </c>
      <c r="AL249" s="170">
        <f t="shared" si="22"/>
        <v>1960.23</v>
      </c>
      <c r="AM249" s="170">
        <f t="shared" si="22"/>
        <v>1940.43</v>
      </c>
      <c r="AN249" s="170">
        <f t="shared" si="22"/>
        <v>1903.99</v>
      </c>
      <c r="AO249" s="170">
        <f t="shared" si="22"/>
        <v>1890.29</v>
      </c>
      <c r="AP249" s="170">
        <f t="shared" si="22"/>
        <v>1893.99</v>
      </c>
      <c r="AQ249" s="170">
        <f t="shared" si="22"/>
        <v>1891.39</v>
      </c>
      <c r="AR249" s="170">
        <f t="shared" si="22"/>
        <v>1987.3900000000003</v>
      </c>
      <c r="AS249" s="170">
        <f t="shared" si="22"/>
        <v>1952.59</v>
      </c>
      <c r="AT249" s="170">
        <f t="shared" si="22"/>
        <v>1904.5900000000001</v>
      </c>
      <c r="AU249" s="170">
        <f t="shared" si="22"/>
        <v>1958.5900000000001</v>
      </c>
      <c r="AV249" s="170">
        <f t="shared" si="22"/>
        <v>1966.5900000000001</v>
      </c>
      <c r="AW249" s="170">
        <f t="shared" si="22"/>
        <v>1916.5900000000001</v>
      </c>
      <c r="AX249" s="170">
        <f t="shared" si="22"/>
        <v>1872.0900000000001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862" priority="64">
      <formula>$AH11=0</formula>
    </cfRule>
  </conditionalFormatting>
  <conditionalFormatting sqref="B8 M8 S8 AB8">
    <cfRule type="expression" dxfId="2861" priority="117">
      <formula>C$9&lt;8/24</formula>
    </cfRule>
    <cfRule type="expression" dxfId="2860" priority="116">
      <formula>AND(C$9&gt;=8/24,C$9&lt;14/24)</formula>
    </cfRule>
    <cfRule type="expression" dxfId="2859" priority="115">
      <formula>AND(C$9&gt;=14/24,C$9&lt;20/24)</formula>
    </cfRule>
  </conditionalFormatting>
  <conditionalFormatting sqref="B54:C54">
    <cfRule type="expression" dxfId="2858" priority="38">
      <formula>B$9&gt;=20/24</formula>
    </cfRule>
    <cfRule type="expression" dxfId="2857" priority="39">
      <formula>AND(B$9&gt;=14/24,B$9&lt;20/24)</formula>
    </cfRule>
    <cfRule type="expression" dxfId="2856" priority="40">
      <formula>AND(B$9&gt;=8/24,B$9&lt;14/24)</formula>
    </cfRule>
    <cfRule type="expression" dxfId="2855" priority="41">
      <formula>B$9&lt;8/24</formula>
    </cfRule>
  </conditionalFormatting>
  <conditionalFormatting sqref="B54:C66 E61:L66 C65:L65">
    <cfRule type="expression" dxfId="2854" priority="33">
      <formula>B54&gt;$AG54</formula>
    </cfRule>
  </conditionalFormatting>
  <conditionalFormatting sqref="B55:D59">
    <cfRule type="expression" dxfId="2853" priority="63">
      <formula>B$9&lt;8/24</formula>
    </cfRule>
    <cfRule type="expression" dxfId="2852" priority="62">
      <formula>AND(B$9&gt;=8/24,B$9&lt;14/24)</formula>
    </cfRule>
    <cfRule type="expression" dxfId="2851" priority="61">
      <formula>AND(B$9&gt;=14/24,B$9&lt;20/24)</formula>
    </cfRule>
    <cfRule type="expression" dxfId="2850" priority="60">
      <formula>B$9&gt;=20/24</formula>
    </cfRule>
  </conditionalFormatting>
  <conditionalFormatting sqref="B60:R60">
    <cfRule type="expression" dxfId="2849" priority="52">
      <formula>AND(B$9&gt;=14/24,B$9&lt;20/24)</formula>
    </cfRule>
    <cfRule type="expression" dxfId="2848" priority="51">
      <formula>B$9&gt;=20/24</formula>
    </cfRule>
    <cfRule type="expression" dxfId="2847" priority="54">
      <formula>B$9&lt;8/24</formula>
    </cfRule>
    <cfRule type="expression" dxfId="2846" priority="53">
      <formula>AND(B$9&gt;=8/24,B$9&lt;14/24)</formula>
    </cfRule>
  </conditionalFormatting>
  <conditionalFormatting sqref="B9:AF45">
    <cfRule type="expression" dxfId="2845" priority="23">
      <formula>B$9&gt;=20/24</formula>
    </cfRule>
    <cfRule type="expression" dxfId="2844" priority="24">
      <formula>AND(B$9&gt;=14/24,B$9&lt;20/24)</formula>
    </cfRule>
    <cfRule type="expression" dxfId="2843" priority="25">
      <formula>AND(B$9&gt;=8/24,B$9&lt;14/24)</formula>
    </cfRule>
    <cfRule type="expression" dxfId="2842" priority="26">
      <formula>B$9&lt;8/24</formula>
    </cfRule>
  </conditionalFormatting>
  <conditionalFormatting sqref="B11:AF46">
    <cfRule type="expression" dxfId="2841" priority="22">
      <formula>B11&gt;$AG11</formula>
    </cfRule>
  </conditionalFormatting>
  <conditionalFormatting sqref="B46:AF46">
    <cfRule type="expression" dxfId="2840" priority="21">
      <formula>B$9&lt;8/24</formula>
    </cfRule>
    <cfRule type="expression" dxfId="2839" priority="18">
      <formula>B$9&gt;=20/24</formula>
    </cfRule>
    <cfRule type="expression" dxfId="2838" priority="19">
      <formula>AND(B$9&gt;=14/24,B$9&lt;20/24)</formula>
    </cfRule>
    <cfRule type="expression" dxfId="2837" priority="20">
      <formula>AND(B$9&gt;=8/24,B$9&lt;14/24)</formula>
    </cfRule>
  </conditionalFormatting>
  <conditionalFormatting sqref="B47:AF47">
    <cfRule type="expression" dxfId="2836" priority="32">
      <formula>B47&gt;$AG47</formula>
    </cfRule>
  </conditionalFormatting>
  <conditionalFormatting sqref="B47:AF49">
    <cfRule type="expression" dxfId="2835" priority="31">
      <formula>B$9&lt;8/24</formula>
    </cfRule>
    <cfRule type="expression" dxfId="2834" priority="30">
      <formula>AND(B$9&gt;=8/24,B$9&lt;14/24)</formula>
    </cfRule>
    <cfRule type="expression" dxfId="2833" priority="29">
      <formula>AND(B$9&gt;=14/24,B$9&lt;20/24)</formula>
    </cfRule>
    <cfRule type="expression" dxfId="2832" priority="28">
      <formula>B$9&gt;=20/24</formula>
    </cfRule>
  </conditionalFormatting>
  <conditionalFormatting sqref="B48:AF53">
    <cfRule type="expression" dxfId="2831" priority="27">
      <formula>B48&gt;$AG48</formula>
    </cfRule>
  </conditionalFormatting>
  <conditionalFormatting sqref="B51:AF53">
    <cfRule type="expression" dxfId="2830" priority="48">
      <formula>AND(B$9&gt;=14/24,B$9&lt;20/24)</formula>
    </cfRule>
    <cfRule type="expression" dxfId="2829" priority="49">
      <formula>AND(B$9&gt;=8/24,B$9&lt;14/24)</formula>
    </cfRule>
    <cfRule type="expression" dxfId="2828" priority="50">
      <formula>B$9&lt;8/24</formula>
    </cfRule>
    <cfRule type="expression" dxfId="2827" priority="47">
      <formula>B$9&gt;=20/24</formula>
    </cfRule>
  </conditionalFormatting>
  <conditionalFormatting sqref="B61:AF66">
    <cfRule type="expression" dxfId="2826" priority="35">
      <formula>AND(B$9&gt;=14/24,B$9&lt;20/24)</formula>
    </cfRule>
    <cfRule type="expression" dxfId="2825" priority="36">
      <formula>AND(B$9&gt;=8/24,B$9&lt;14/24)</formula>
    </cfRule>
    <cfRule type="expression" dxfId="2824" priority="37">
      <formula>B$9&lt;8/24</formula>
    </cfRule>
    <cfRule type="expression" dxfId="2823" priority="34">
      <formula>B$9&gt;=20/24</formula>
    </cfRule>
  </conditionalFormatting>
  <conditionalFormatting sqref="B69:AF71">
    <cfRule type="expression" dxfId="2822" priority="58">
      <formula>AND(B$9&gt;=8/24,B$9&lt;14/24)</formula>
    </cfRule>
    <cfRule type="expression" dxfId="2821" priority="59">
      <formula>B$9&lt;8/24</formula>
    </cfRule>
    <cfRule type="expression" dxfId="2820" priority="55">
      <formula>B69&gt;$AG69</formula>
    </cfRule>
    <cfRule type="expression" dxfId="2819" priority="56">
      <formula>B$9&gt;=20/24</formula>
    </cfRule>
    <cfRule type="expression" dxfId="2818" priority="57">
      <formula>AND(B$9&gt;=14/24,B$9&lt;20/24)</formula>
    </cfRule>
  </conditionalFormatting>
  <conditionalFormatting sqref="B73:AF91">
    <cfRule type="expression" dxfId="2817" priority="2">
      <formula>AND(B$9&gt;=14/24,B$9&lt;20/24)</formula>
    </cfRule>
    <cfRule type="expression" dxfId="2816" priority="4">
      <formula>B$9&lt;8/24</formula>
    </cfRule>
    <cfRule type="expression" dxfId="2815" priority="3">
      <formula>AND(B$9&gt;=8/24,B$9&lt;14/24)</formula>
    </cfRule>
    <cfRule type="expression" dxfId="2814" priority="1">
      <formula>B$9&gt;=20/24</formula>
    </cfRule>
  </conditionalFormatting>
  <conditionalFormatting sqref="B111:AF120">
    <cfRule type="expression" dxfId="2813" priority="17">
      <formula>B$9&lt;8/24</formula>
    </cfRule>
    <cfRule type="expression" dxfId="2812" priority="16">
      <formula>AND(B$9&gt;=8/24,B$9&lt;14/24)</formula>
    </cfRule>
    <cfRule type="expression" dxfId="2811" priority="15">
      <formula>AND(B$9&gt;=14/24,B$9&lt;20/24)</formula>
    </cfRule>
    <cfRule type="expression" dxfId="2810" priority="14">
      <formula>B$9&gt;=20/24</formula>
    </cfRule>
  </conditionalFormatting>
  <conditionalFormatting sqref="B227:AF227 D229:AF230 B229:B235 D231:H231 J231:AF231 D232:AF235 U248:AF248">
    <cfRule type="expression" dxfId="2809" priority="108">
      <formula>B$9&gt;=20/24</formula>
    </cfRule>
    <cfRule type="expression" dxfId="2808" priority="110">
      <formula>AND(B$9&gt;=8/24,B$9&lt;14/24)</formula>
    </cfRule>
    <cfRule type="expression" dxfId="2807" priority="111">
      <formula>B$9&lt;8/24</formula>
    </cfRule>
    <cfRule type="expression" dxfId="2806" priority="109">
      <formula>AND(B$9&gt;=14/24,B$9&lt;20/24)</formula>
    </cfRule>
  </conditionalFormatting>
  <conditionalFormatting sqref="B67:AG68 B72:AG72">
    <cfRule type="expression" dxfId="2805" priority="42">
      <formula>B67&gt;$AG67</formula>
    </cfRule>
  </conditionalFormatting>
  <conditionalFormatting sqref="B72:AG72 B93:AF109">
    <cfRule type="expression" dxfId="2804" priority="46">
      <formula>B$9&lt;8/24</formula>
    </cfRule>
    <cfRule type="expression" dxfId="2803" priority="45">
      <formula>AND(B$9&gt;=8/24,B$9&lt;14/24)</formula>
    </cfRule>
    <cfRule type="expression" dxfId="2802" priority="44">
      <formula>AND(B$9&gt;=14/24,B$9&lt;20/24)</formula>
    </cfRule>
    <cfRule type="expression" dxfId="2801" priority="43">
      <formula>B$9&gt;=20/24</formula>
    </cfRule>
  </conditionalFormatting>
  <conditionalFormatting sqref="D55:AF66">
    <cfRule type="expression" dxfId="2800" priority="5">
      <formula>D55&gt;$AG55</formula>
    </cfRule>
  </conditionalFormatting>
  <conditionalFormatting sqref="D54:AG54">
    <cfRule type="expression" dxfId="2799" priority="78">
      <formula>AND(D$9&gt;=14/24,D$9&lt;20/24)</formula>
    </cfRule>
    <cfRule type="expression" dxfId="2798" priority="77">
      <formula>D$9&gt;=20/24</formula>
    </cfRule>
    <cfRule type="expression" dxfId="2797" priority="76">
      <formula>D54&gt;$AG54</formula>
    </cfRule>
    <cfRule type="expression" dxfId="2796" priority="79">
      <formula>AND(D$9&gt;=8/24,D$9&lt;14/24)</formula>
    </cfRule>
    <cfRule type="expression" dxfId="2795" priority="80">
      <formula>D$9&lt;8/24</formula>
    </cfRule>
  </conditionalFormatting>
  <conditionalFormatting sqref="E55:L57">
    <cfRule type="expression" dxfId="2794" priority="89">
      <formula>E$9&gt;=20/24</formula>
    </cfRule>
    <cfRule type="expression" dxfId="2793" priority="90">
      <formula>AND(E$9&gt;=14/24,E$9&lt;20/24)</formula>
    </cfRule>
    <cfRule type="expression" dxfId="2792" priority="91">
      <formula>AND(E$9&gt;=8/24,E$9&lt;14/24)</formula>
    </cfRule>
    <cfRule type="expression" dxfId="2791" priority="92">
      <formula>E$9&lt;8/24</formula>
    </cfRule>
  </conditionalFormatting>
  <conditionalFormatting sqref="M55:R59">
    <cfRule type="expression" dxfId="2790" priority="93">
      <formula>M$9&gt;=20/24</formula>
    </cfRule>
    <cfRule type="expression" dxfId="2789" priority="95">
      <formula>AND(M$9&gt;=8/24,M$9&lt;14/24)</formula>
    </cfRule>
    <cfRule type="expression" dxfId="2788" priority="96">
      <formula>M$9&lt;8/24</formula>
    </cfRule>
    <cfRule type="expression" dxfId="2787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786" priority="114">
      <formula>C$9&gt;=20/24</formula>
    </cfRule>
  </conditionalFormatting>
  <conditionalFormatting sqref="S8">
    <cfRule type="expression" dxfId="2785" priority="102">
      <formula>AND(U$9&gt;=14/24,U$9&lt;20/24)</formula>
    </cfRule>
    <cfRule type="expression" dxfId="2784" priority="101">
      <formula>U$9&gt;=20/24</formula>
    </cfRule>
    <cfRule type="expression" dxfId="2783" priority="103">
      <formula>AND(U$9&gt;=8/24,U$9&lt;14/24)</formula>
    </cfRule>
    <cfRule type="expression" dxfId="2782" priority="104">
      <formula>U$9&lt;8/24</formula>
    </cfRule>
  </conditionalFormatting>
  <conditionalFormatting sqref="S55:AF60">
    <cfRule type="expression" dxfId="2781" priority="10">
      <formula>S$9&gt;=20/24</formula>
    </cfRule>
    <cfRule type="expression" dxfId="2780" priority="12">
      <formula>AND(S$9&gt;=8/24,S$9&lt;14/24)</formula>
    </cfRule>
    <cfRule type="expression" dxfId="2779" priority="13">
      <formula>S$9&lt;8/24</formula>
    </cfRule>
    <cfRule type="expression" dxfId="2778" priority="11">
      <formula>AND(S$9&gt;=14/24,S$9&lt;20/24)</formula>
    </cfRule>
  </conditionalFormatting>
  <conditionalFormatting sqref="T248">
    <cfRule type="expression" dxfId="2777" priority="129">
      <formula>AX$9&lt;8/24</formula>
    </cfRule>
    <cfRule type="expression" dxfId="2776" priority="126">
      <formula>AX$9&gt;=20/24</formula>
    </cfRule>
    <cfRule type="expression" dxfId="2775" priority="127">
      <formula>AND(AX$9&gt;=14/24,AX$9&lt;20/24)</formula>
    </cfRule>
    <cfRule type="expression" dxfId="2774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773" priority="97">
      <formula>AD$9&gt;=20/24</formula>
    </cfRule>
    <cfRule type="expression" dxfId="2772" priority="99">
      <formula>AND(AD$9&gt;=8/24,AD$9&lt;14/24)</formula>
    </cfRule>
    <cfRule type="expression" dxfId="2771" priority="98">
      <formula>AND(AD$9&gt;=14/24,AD$9&lt;20/24)</formula>
    </cfRule>
    <cfRule type="expression" dxfId="2770" priority="100">
      <formula>AD$9&lt;8/24</formula>
    </cfRule>
  </conditionalFormatting>
  <conditionalFormatting sqref="AE61:AF66">
    <cfRule type="expression" dxfId="2769" priority="9">
      <formula>AE$9&lt;8/24</formula>
    </cfRule>
    <cfRule type="expression" dxfId="2768" priority="8">
      <formula>AND(AE$9&gt;=8/24,AE$9&lt;14/24)</formula>
    </cfRule>
    <cfRule type="expression" dxfId="2767" priority="7">
      <formula>AND(AE$9&gt;=14/24,AE$9&lt;20/24)</formula>
    </cfRule>
    <cfRule type="expression" dxfId="2766" priority="6">
      <formula>AE$9&gt;=20/24</formula>
    </cfRule>
  </conditionalFormatting>
  <conditionalFormatting sqref="AG50">
    <cfRule type="expression" dxfId="2765" priority="84">
      <formula>AG50&gt;$AG50</formula>
    </cfRule>
  </conditionalFormatting>
  <conditionalFormatting sqref="AG89">
    <cfRule type="expression" dxfId="2764" priority="85">
      <formula>AG$9&gt;=20/24</formula>
    </cfRule>
    <cfRule type="expression" dxfId="2763" priority="86">
      <formula>AND(AG$9&gt;=14/24,AG$9&lt;20/24)</formula>
    </cfRule>
    <cfRule type="expression" dxfId="2762" priority="87">
      <formula>AND(AG$9&gt;=8/24,AG$9&lt;14/24)</formula>
    </cfRule>
    <cfRule type="expression" dxfId="2761" priority="88">
      <formula>AG$9&lt;8/24</formula>
    </cfRule>
  </conditionalFormatting>
  <conditionalFormatting sqref="AG248">
    <cfRule type="expression" dxfId="2760" priority="118">
      <formula>B$9&gt;=20/24</formula>
    </cfRule>
    <cfRule type="expression" dxfId="2759" priority="121">
      <formula>B$9&lt;8/24</formula>
    </cfRule>
    <cfRule type="expression" dxfId="2758" priority="120">
      <formula>AND(B$9&gt;=8/24,B$9&lt;14/24)</formula>
    </cfRule>
    <cfRule type="expression" dxfId="2757" priority="119">
      <formula>AND(B$9&gt;=14/24,B$9&lt;20/24)</formula>
    </cfRule>
  </conditionalFormatting>
  <conditionalFormatting sqref="AH248:AX248">
    <cfRule type="expression" dxfId="2756" priority="125">
      <formula>AG$9&lt;8/24</formula>
    </cfRule>
    <cfRule type="expression" dxfId="2755" priority="124">
      <formula>AND(AG$9&gt;=8/24,AG$9&lt;14/24)</formula>
    </cfRule>
    <cfRule type="expression" dxfId="2754" priority="123">
      <formula>AND(AG$9&gt;=14/24,AG$9&lt;20/24)</formula>
    </cfRule>
    <cfRule type="expression" dxfId="2753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752" priority="131">
      <formula>AJ$9&gt;=20/24</formula>
    </cfRule>
    <cfRule type="expression" dxfId="2751" priority="132">
      <formula>AND(AJ$9&gt;=14/24,AJ$9&lt;20/24)</formula>
    </cfRule>
    <cfRule type="expression" dxfId="2750" priority="133">
      <formula>AND(AJ$9&gt;=8/24,AJ$9&lt;14/24)</formula>
    </cfRule>
    <cfRule type="expression" dxfId="2749" priority="134">
      <formula>AJ$9&lt;8/24</formula>
    </cfRule>
  </conditionalFormatting>
  <conditionalFormatting sqref="AL80:AN80 AL86:AN86">
    <cfRule type="expression" dxfId="2748" priority="75">
      <formula>AL$9&lt;8/24</formula>
    </cfRule>
    <cfRule type="expression" dxfId="2747" priority="74">
      <formula>AND(AL$9&gt;=8/24,AL$9&lt;14/24)</formula>
    </cfRule>
    <cfRule type="expression" dxfId="2746" priority="73">
      <formula>AND(AL$9&gt;=14/24,AL$9&lt;20/24)</formula>
    </cfRule>
    <cfRule type="expression" dxfId="2745" priority="72">
      <formula>AL$9&gt;=20/24</formula>
    </cfRule>
  </conditionalFormatting>
  <conditionalFormatting sqref="AN81:AN84">
    <cfRule type="expression" dxfId="2744" priority="71">
      <formula>AN$9&lt;8/24</formula>
    </cfRule>
    <cfRule type="expression" dxfId="2743" priority="69">
      <formula>AND(AN$9&gt;=14/24,AN$9&lt;20/24)</formula>
    </cfRule>
    <cfRule type="expression" dxfId="2742" priority="70">
      <formula>AND(AN$9&gt;=8/24,AN$9&lt;14/24)</formula>
    </cfRule>
    <cfRule type="expression" dxfId="2741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E40E-5F58-41FC-8E18-F6D3AB8493D9}">
  <sheetPr codeName="Sheet13"/>
  <dimension ref="A1:CJ281"/>
  <sheetViews>
    <sheetView workbookViewId="0">
      <pane xSplit="1" ySplit="10" topLeftCell="B53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I100" sqref="I10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.7109375" style="1" customWidth="1"/>
    <col min="12" max="12" width="7" style="1" customWidth="1"/>
    <col min="13" max="13" width="6.710937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2080/05/11</v>
      </c>
      <c r="C4" s="196"/>
      <c r="D4" s="196"/>
      <c r="E4" s="197" t="str">
        <f ca="1">"2080/"&amp;"05/"&amp;INT(MID(CELL("filename",G6),FIND("]",CELL("filename",G6))+1,200))</f>
        <v>2080/05/11</v>
      </c>
      <c r="F4" s="197"/>
      <c r="G4" s="197"/>
      <c r="H4" s="197" t="str">
        <f ca="1">TEXT(E4,"dddd")</f>
        <v>Saturday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12</v>
      </c>
      <c r="C5" s="30">
        <f t="shared" si="0"/>
        <v>12</v>
      </c>
      <c r="D5" s="30">
        <f t="shared" si="0"/>
        <v>12</v>
      </c>
      <c r="E5" s="30">
        <f t="shared" si="0"/>
        <v>12</v>
      </c>
      <c r="F5" s="30">
        <f t="shared" si="0"/>
        <v>12</v>
      </c>
      <c r="G5" s="30">
        <f t="shared" si="0"/>
        <v>12</v>
      </c>
      <c r="H5" s="30">
        <f t="shared" si="0"/>
        <v>12</v>
      </c>
      <c r="I5" s="30">
        <f t="shared" si="0"/>
        <v>12</v>
      </c>
      <c r="J5" s="30">
        <f t="shared" si="0"/>
        <v>12</v>
      </c>
      <c r="K5" s="30">
        <f t="shared" si="0"/>
        <v>12</v>
      </c>
      <c r="L5" s="30">
        <f t="shared" si="0"/>
        <v>12</v>
      </c>
      <c r="M5" s="30">
        <f t="shared" si="0"/>
        <v>10</v>
      </c>
      <c r="N5" s="30">
        <f t="shared" si="0"/>
        <v>10</v>
      </c>
      <c r="O5" s="30">
        <f t="shared" si="0"/>
        <v>20</v>
      </c>
      <c r="P5" s="30">
        <f t="shared" si="0"/>
        <v>14</v>
      </c>
      <c r="Q5" s="30">
        <f t="shared" si="0"/>
        <v>0</v>
      </c>
      <c r="R5" s="30">
        <f t="shared" si="0"/>
        <v>8.1999999999999993</v>
      </c>
      <c r="S5" s="30">
        <f t="shared" si="0"/>
        <v>6.7</v>
      </c>
      <c r="T5" s="30">
        <f t="shared" si="0"/>
        <v>5</v>
      </c>
      <c r="U5" s="30">
        <f t="shared" si="0"/>
        <v>5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8.3000000000000007</v>
      </c>
      <c r="Z5" s="30">
        <f t="shared" si="0"/>
        <v>39.799999999999997</v>
      </c>
      <c r="AA5" s="30">
        <f t="shared" si="0"/>
        <v>39.1</v>
      </c>
      <c r="AB5" s="30">
        <f t="shared" si="0"/>
        <v>23.4</v>
      </c>
      <c r="AC5" s="30">
        <f t="shared" si="0"/>
        <v>29.2</v>
      </c>
      <c r="AD5" s="30">
        <f t="shared" si="0"/>
        <v>24.8</v>
      </c>
      <c r="AE5" s="30">
        <f t="shared" si="0"/>
        <v>5.5</v>
      </c>
      <c r="AF5" s="30">
        <f>B84</f>
        <v>12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1958MW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Load=1835</v>
      </c>
      <c r="B7" s="35">
        <f t="shared" ref="B7:AF7" si="1">B91</f>
        <v>1916.5900000000001</v>
      </c>
      <c r="C7" s="35">
        <f t="shared" si="1"/>
        <v>1834.69</v>
      </c>
      <c r="D7" s="35">
        <f t="shared" si="1"/>
        <v>1834.69</v>
      </c>
      <c r="E7" s="35">
        <f t="shared" si="1"/>
        <v>1834.69</v>
      </c>
      <c r="F7" s="35">
        <f t="shared" si="1"/>
        <v>1834.69</v>
      </c>
      <c r="G7" s="35">
        <f t="shared" si="1"/>
        <v>1834.69</v>
      </c>
      <c r="H7" s="35">
        <f t="shared" si="1"/>
        <v>1834.69</v>
      </c>
      <c r="I7" s="35">
        <f t="shared" si="1"/>
        <v>1834.69</v>
      </c>
      <c r="J7" s="35">
        <f t="shared" si="1"/>
        <v>1834.69</v>
      </c>
      <c r="K7" s="35">
        <f t="shared" si="1"/>
        <v>1938.59</v>
      </c>
      <c r="L7" s="35">
        <f t="shared" si="1"/>
        <v>1927.79</v>
      </c>
      <c r="M7" s="35">
        <f t="shared" si="1"/>
        <v>1940.24</v>
      </c>
      <c r="N7" s="35">
        <f>N91</f>
        <v>1958.44</v>
      </c>
      <c r="O7" s="35">
        <f t="shared" si="1"/>
        <v>1975.54</v>
      </c>
      <c r="P7" s="35">
        <f t="shared" si="1"/>
        <v>1953.64</v>
      </c>
      <c r="Q7" s="35">
        <f t="shared" si="1"/>
        <v>1957.64</v>
      </c>
      <c r="R7" s="35">
        <f t="shared" si="1"/>
        <v>1942.64</v>
      </c>
      <c r="S7" s="35">
        <f t="shared" si="1"/>
        <v>1948.64</v>
      </c>
      <c r="T7" s="35">
        <f t="shared" si="1"/>
        <v>1932.54</v>
      </c>
      <c r="U7" s="35">
        <f t="shared" si="1"/>
        <v>1922.24</v>
      </c>
      <c r="V7" s="35">
        <f t="shared" si="1"/>
        <v>1939.24</v>
      </c>
      <c r="W7" s="35">
        <f t="shared" si="1"/>
        <v>1927.6399999999999</v>
      </c>
      <c r="X7" s="35">
        <f t="shared" si="1"/>
        <v>1934.14</v>
      </c>
      <c r="Y7" s="35">
        <f t="shared" si="1"/>
        <v>1959.54</v>
      </c>
      <c r="Z7" s="35">
        <f t="shared" si="1"/>
        <v>1967.84</v>
      </c>
      <c r="AA7" s="35">
        <f t="shared" si="1"/>
        <v>2072.6400000000003</v>
      </c>
      <c r="AB7" s="35">
        <f t="shared" si="1"/>
        <v>2072.7399999999998</v>
      </c>
      <c r="AC7" s="35">
        <f t="shared" si="1"/>
        <v>2057.04</v>
      </c>
      <c r="AD7" s="35">
        <f t="shared" si="1"/>
        <v>2011.44</v>
      </c>
      <c r="AE7" s="35">
        <f t="shared" si="1"/>
        <v>1983.14</v>
      </c>
      <c r="AF7" s="35">
        <f t="shared" si="1"/>
        <v>1953.14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89.85</v>
      </c>
      <c r="C11" s="45">
        <v>89.85</v>
      </c>
      <c r="D11" s="45">
        <v>89.85</v>
      </c>
      <c r="E11" s="45">
        <v>89.85</v>
      </c>
      <c r="F11" s="45">
        <v>89.85</v>
      </c>
      <c r="G11" s="45">
        <v>89.85</v>
      </c>
      <c r="H11" s="45">
        <v>89.85</v>
      </c>
      <c r="I11" s="45">
        <v>89.85</v>
      </c>
      <c r="J11" s="45">
        <v>89.85</v>
      </c>
      <c r="K11" s="45">
        <v>89.85</v>
      </c>
      <c r="L11" s="45">
        <v>89.85</v>
      </c>
      <c r="M11" s="45">
        <v>85.9</v>
      </c>
      <c r="N11" s="45">
        <v>85.9</v>
      </c>
      <c r="O11" s="45">
        <v>85.9</v>
      </c>
      <c r="P11" s="45">
        <v>85.9</v>
      </c>
      <c r="Q11" s="45">
        <v>85.9</v>
      </c>
      <c r="R11" s="45">
        <v>85.9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85.9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0</v>
      </c>
      <c r="Q12" s="45">
        <v>0</v>
      </c>
      <c r="R12" s="45">
        <v>0</v>
      </c>
      <c r="S12" s="45">
        <v>0</v>
      </c>
      <c r="T12" s="45">
        <v>13</v>
      </c>
      <c r="U12" s="45">
        <v>13</v>
      </c>
      <c r="V12" s="45">
        <v>13</v>
      </c>
      <c r="W12" s="45">
        <v>13</v>
      </c>
      <c r="X12" s="45">
        <v>9</v>
      </c>
      <c r="Y12" s="45">
        <v>9</v>
      </c>
      <c r="Z12" s="45">
        <v>9</v>
      </c>
      <c r="AA12" s="45">
        <v>13</v>
      </c>
      <c r="AB12" s="45">
        <v>13</v>
      </c>
      <c r="AC12" s="45">
        <v>13</v>
      </c>
      <c r="AD12" s="45">
        <v>13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55</v>
      </c>
      <c r="C13" s="45">
        <v>55</v>
      </c>
      <c r="D13" s="45">
        <v>55</v>
      </c>
      <c r="E13" s="45">
        <v>55</v>
      </c>
      <c r="F13" s="45">
        <v>55</v>
      </c>
      <c r="G13" s="45">
        <v>55</v>
      </c>
      <c r="H13" s="45">
        <v>55</v>
      </c>
      <c r="I13" s="45">
        <v>55</v>
      </c>
      <c r="J13" s="45">
        <v>55</v>
      </c>
      <c r="K13" s="45">
        <v>55</v>
      </c>
      <c r="L13" s="45">
        <v>55</v>
      </c>
      <c r="M13" s="45">
        <v>54.7</v>
      </c>
      <c r="N13" s="45">
        <v>54.7</v>
      </c>
      <c r="O13" s="45">
        <v>54.7</v>
      </c>
      <c r="P13" s="45">
        <v>54.7</v>
      </c>
      <c r="Q13" s="45">
        <v>54.7</v>
      </c>
      <c r="R13" s="45">
        <v>54.7</v>
      </c>
      <c r="S13" s="45">
        <v>54.7</v>
      </c>
      <c r="T13" s="45">
        <v>54.7</v>
      </c>
      <c r="U13" s="45">
        <v>54.7</v>
      </c>
      <c r="V13" s="45">
        <v>54.7</v>
      </c>
      <c r="W13" s="45">
        <v>54.7</v>
      </c>
      <c r="X13" s="45">
        <v>54.7</v>
      </c>
      <c r="Y13" s="45">
        <v>54.7</v>
      </c>
      <c r="Z13" s="45">
        <v>54.7</v>
      </c>
      <c r="AA13" s="45">
        <v>54.7</v>
      </c>
      <c r="AB13" s="45">
        <v>54.6</v>
      </c>
      <c r="AC13" s="45">
        <v>54.6</v>
      </c>
      <c r="AD13" s="45">
        <v>54.6</v>
      </c>
      <c r="AE13" s="45">
        <v>54.7</v>
      </c>
      <c r="AF13" s="45">
        <v>54.7</v>
      </c>
      <c r="AG13" s="46">
        <v>52.4</v>
      </c>
      <c r="AH13" s="47">
        <f t="shared" si="2"/>
        <v>55</v>
      </c>
      <c r="AI13" s="48">
        <f t="shared" si="3"/>
        <v>54.6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45">
        <v>50.5</v>
      </c>
      <c r="AB14" s="45">
        <v>50.3</v>
      </c>
      <c r="AC14" s="45">
        <v>50.3</v>
      </c>
      <c r="AD14" s="45">
        <v>50.3</v>
      </c>
      <c r="AE14" s="45">
        <v>50.3</v>
      </c>
      <c r="AF14" s="45">
        <v>50.3</v>
      </c>
      <c r="AG14" s="49">
        <v>50</v>
      </c>
      <c r="AH14" s="47">
        <f t="shared" si="2"/>
        <v>50.6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36</v>
      </c>
      <c r="L15" s="45">
        <v>36</v>
      </c>
      <c r="M15" s="45">
        <v>36</v>
      </c>
      <c r="N15" s="45">
        <v>36</v>
      </c>
      <c r="O15" s="45">
        <v>36</v>
      </c>
      <c r="P15" s="45">
        <v>36</v>
      </c>
      <c r="Q15" s="45">
        <v>36</v>
      </c>
      <c r="R15" s="45">
        <v>36</v>
      </c>
      <c r="S15" s="45">
        <v>36</v>
      </c>
      <c r="T15" s="45">
        <v>36</v>
      </c>
      <c r="U15" s="45">
        <v>36</v>
      </c>
      <c r="V15" s="45">
        <v>36</v>
      </c>
      <c r="W15" s="45">
        <v>36</v>
      </c>
      <c r="X15" s="45">
        <v>36</v>
      </c>
      <c r="Y15" s="45">
        <v>36</v>
      </c>
      <c r="Z15" s="45">
        <v>36</v>
      </c>
      <c r="AA15" s="45">
        <v>36</v>
      </c>
      <c r="AB15" s="45">
        <v>46.3</v>
      </c>
      <c r="AC15" s="45">
        <v>46.3</v>
      </c>
      <c r="AD15" s="45">
        <v>46.3</v>
      </c>
      <c r="AE15" s="45">
        <v>46.4</v>
      </c>
      <c r="AF15" s="45">
        <v>46.4</v>
      </c>
      <c r="AG15" s="49">
        <v>45</v>
      </c>
      <c r="AH15" s="47">
        <f t="shared" si="2"/>
        <v>46.4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10</v>
      </c>
      <c r="U16" s="45">
        <v>10</v>
      </c>
      <c r="V16" s="45">
        <v>10</v>
      </c>
      <c r="W16" s="45">
        <v>10</v>
      </c>
      <c r="X16" s="45">
        <v>10</v>
      </c>
      <c r="Y16" s="45">
        <v>10</v>
      </c>
      <c r="Z16" s="45">
        <v>10</v>
      </c>
      <c r="AA16" s="45">
        <v>10</v>
      </c>
      <c r="AB16" s="45">
        <v>10</v>
      </c>
      <c r="AC16" s="45">
        <v>10</v>
      </c>
      <c r="AD16" s="45">
        <v>10</v>
      </c>
      <c r="AE16" s="45">
        <v>10</v>
      </c>
      <c r="AF16" s="45">
        <v>10</v>
      </c>
      <c r="AG16" s="49">
        <v>44</v>
      </c>
      <c r="AH16" s="47">
        <f>MAX(B16:AG16)</f>
        <v>44</v>
      </c>
      <c r="AI16" s="48">
        <f>MIN(B16:AG16)</f>
        <v>10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29</v>
      </c>
      <c r="N17" s="45">
        <v>29</v>
      </c>
      <c r="O17" s="45">
        <v>29</v>
      </c>
      <c r="P17" s="45">
        <v>28</v>
      </c>
      <c r="Q17" s="45">
        <v>28</v>
      </c>
      <c r="R17" s="45">
        <v>28</v>
      </c>
      <c r="S17" s="45">
        <v>12</v>
      </c>
      <c r="T17" s="45">
        <v>12</v>
      </c>
      <c r="U17" s="45">
        <v>12</v>
      </c>
      <c r="V17" s="45">
        <v>12</v>
      </c>
      <c r="W17" s="45">
        <v>7</v>
      </c>
      <c r="X17" s="45">
        <v>7</v>
      </c>
      <c r="Y17" s="45">
        <v>7</v>
      </c>
      <c r="Z17" s="45">
        <v>7</v>
      </c>
      <c r="AA17" s="45">
        <v>0</v>
      </c>
      <c r="AB17" s="45">
        <v>11</v>
      </c>
      <c r="AC17" s="45">
        <v>11</v>
      </c>
      <c r="AD17" s="45">
        <v>11</v>
      </c>
      <c r="AE17" s="45">
        <v>11</v>
      </c>
      <c r="AF17" s="45">
        <v>11</v>
      </c>
      <c r="AG17" s="49">
        <v>42</v>
      </c>
      <c r="AH17" s="47">
        <f t="shared" si="2"/>
        <v>29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15</v>
      </c>
      <c r="L18" s="45">
        <v>15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10</v>
      </c>
      <c r="R19" s="45">
        <v>10</v>
      </c>
      <c r="S19" s="45">
        <v>10</v>
      </c>
      <c r="T19" s="45">
        <v>10</v>
      </c>
      <c r="U19" s="45">
        <v>10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5</v>
      </c>
      <c r="I20" s="45">
        <v>5</v>
      </c>
      <c r="J20" s="45">
        <v>5</v>
      </c>
      <c r="K20" s="45">
        <v>15</v>
      </c>
      <c r="L20" s="45">
        <v>15</v>
      </c>
      <c r="M20" s="45">
        <v>15</v>
      </c>
      <c r="N20" s="45">
        <v>15</v>
      </c>
      <c r="O20" s="45">
        <v>15</v>
      </c>
      <c r="P20" s="45">
        <v>0</v>
      </c>
      <c r="Q20" s="45">
        <v>0</v>
      </c>
      <c r="R20" s="45">
        <v>0</v>
      </c>
      <c r="S20" s="45">
        <v>5</v>
      </c>
      <c r="T20" s="45">
        <v>5</v>
      </c>
      <c r="U20" s="45">
        <v>5</v>
      </c>
      <c r="V20" s="45">
        <v>10</v>
      </c>
      <c r="W20" s="45">
        <v>10</v>
      </c>
      <c r="X20" s="45">
        <v>5</v>
      </c>
      <c r="Y20" s="45">
        <v>5</v>
      </c>
      <c r="Z20" s="45">
        <v>5</v>
      </c>
      <c r="AA20" s="45">
        <v>30</v>
      </c>
      <c r="AB20" s="45">
        <v>21.1</v>
      </c>
      <c r="AC20" s="45">
        <v>21.1</v>
      </c>
      <c r="AD20" s="45">
        <v>6.4</v>
      </c>
      <c r="AE20" s="45">
        <v>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26.8</v>
      </c>
      <c r="D21" s="45">
        <v>26.8</v>
      </c>
      <c r="E21" s="45">
        <v>26.8</v>
      </c>
      <c r="F21" s="45">
        <v>26.8</v>
      </c>
      <c r="G21" s="45">
        <v>26.8</v>
      </c>
      <c r="H21" s="45">
        <v>26.8</v>
      </c>
      <c r="I21" s="45">
        <v>26.8</v>
      </c>
      <c r="J21" s="45">
        <v>26.8</v>
      </c>
      <c r="K21" s="45">
        <v>26.8</v>
      </c>
      <c r="L21" s="45">
        <v>26.8</v>
      </c>
      <c r="M21" s="45">
        <v>20.9</v>
      </c>
      <c r="N21" s="45">
        <v>20.9</v>
      </c>
      <c r="O21" s="45">
        <v>20.9</v>
      </c>
      <c r="P21" s="45">
        <v>25</v>
      </c>
      <c r="Q21" s="45">
        <v>25</v>
      </c>
      <c r="R21" s="45">
        <v>25</v>
      </c>
      <c r="S21" s="45">
        <v>25</v>
      </c>
      <c r="T21" s="45">
        <v>25</v>
      </c>
      <c r="U21" s="45">
        <v>25</v>
      </c>
      <c r="V21" s="45">
        <v>25</v>
      </c>
      <c r="W21" s="45">
        <v>25</v>
      </c>
      <c r="X21" s="45">
        <v>25</v>
      </c>
      <c r="Y21" s="45">
        <v>25</v>
      </c>
      <c r="Z21" s="45">
        <v>25</v>
      </c>
      <c r="AA21" s="45">
        <v>25</v>
      </c>
      <c r="AB21" s="45">
        <v>25</v>
      </c>
      <c r="AC21" s="45">
        <v>25</v>
      </c>
      <c r="AD21" s="45">
        <v>25</v>
      </c>
      <c r="AE21" s="45">
        <v>24.8</v>
      </c>
      <c r="AF21" s="45">
        <v>24.8</v>
      </c>
      <c r="AG21" s="49">
        <v>24.2</v>
      </c>
      <c r="AH21" s="47">
        <f t="shared" si="2"/>
        <v>26.8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10</v>
      </c>
      <c r="N22" s="45">
        <v>20</v>
      </c>
      <c r="O22" s="45">
        <v>20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13</v>
      </c>
      <c r="L23" s="45">
        <v>13</v>
      </c>
      <c r="M23" s="45">
        <v>13</v>
      </c>
      <c r="N23" s="45">
        <v>13</v>
      </c>
      <c r="O23" s="45">
        <v>13</v>
      </c>
      <c r="P23" s="45">
        <v>0</v>
      </c>
      <c r="Q23" s="45">
        <v>0</v>
      </c>
      <c r="R23" s="45">
        <v>0</v>
      </c>
      <c r="S23" s="45">
        <v>4.5</v>
      </c>
      <c r="T23" s="45">
        <v>4.5</v>
      </c>
      <c r="U23" s="45">
        <v>4.5</v>
      </c>
      <c r="V23" s="45">
        <v>4.5</v>
      </c>
      <c r="W23" s="45">
        <v>4.5</v>
      </c>
      <c r="X23" s="45">
        <v>4.5</v>
      </c>
      <c r="Y23" s="45">
        <v>4.5</v>
      </c>
      <c r="Z23" s="45">
        <v>4.5</v>
      </c>
      <c r="AA23" s="45">
        <v>27</v>
      </c>
      <c r="AB23" s="45">
        <v>18</v>
      </c>
      <c r="AC23" s="45">
        <v>18</v>
      </c>
      <c r="AD23" s="45">
        <v>5.4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10</v>
      </c>
      <c r="C24" s="45">
        <v>10</v>
      </c>
      <c r="D24" s="45">
        <v>10</v>
      </c>
      <c r="E24" s="45">
        <v>10</v>
      </c>
      <c r="F24" s="45">
        <v>10</v>
      </c>
      <c r="G24" s="45">
        <v>10</v>
      </c>
      <c r="H24" s="45">
        <v>10</v>
      </c>
      <c r="I24" s="45">
        <v>10</v>
      </c>
      <c r="J24" s="45">
        <v>10</v>
      </c>
      <c r="K24" s="45">
        <v>10</v>
      </c>
      <c r="L24" s="45">
        <v>25</v>
      </c>
      <c r="M24" s="45">
        <v>25</v>
      </c>
      <c r="N24" s="45">
        <v>25</v>
      </c>
      <c r="O24" s="45">
        <v>25</v>
      </c>
      <c r="P24" s="45">
        <v>24.3</v>
      </c>
      <c r="Q24" s="45">
        <v>24.3</v>
      </c>
      <c r="R24" s="45">
        <v>24.3</v>
      </c>
      <c r="S24" s="45">
        <v>24.3</v>
      </c>
      <c r="T24" s="45">
        <v>10.6</v>
      </c>
      <c r="U24" s="45">
        <v>10.6</v>
      </c>
      <c r="V24" s="45">
        <v>10.6</v>
      </c>
      <c r="W24" s="45">
        <v>10.6</v>
      </c>
      <c r="X24" s="45">
        <v>10.6</v>
      </c>
      <c r="Y24" s="45">
        <v>10.6</v>
      </c>
      <c r="Z24" s="45">
        <v>10.6</v>
      </c>
      <c r="AA24" s="45">
        <v>12.7</v>
      </c>
      <c r="AB24" s="45">
        <v>10.199999999999999</v>
      </c>
      <c r="AC24" s="45">
        <v>10.199999999999999</v>
      </c>
      <c r="AD24" s="45">
        <v>10.1</v>
      </c>
      <c r="AE24" s="45">
        <v>10.3</v>
      </c>
      <c r="AF24" s="45">
        <v>10.3</v>
      </c>
      <c r="AG24" s="49">
        <v>25</v>
      </c>
      <c r="AH24" s="47">
        <f t="shared" si="2"/>
        <v>25</v>
      </c>
      <c r="AI24" s="48">
        <f t="shared" si="3"/>
        <v>10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12</v>
      </c>
      <c r="L27" s="45">
        <v>12</v>
      </c>
      <c r="M27" s="45">
        <v>12</v>
      </c>
      <c r="N27" s="45">
        <v>12</v>
      </c>
      <c r="O27" s="45">
        <v>12</v>
      </c>
      <c r="P27" s="45">
        <v>0</v>
      </c>
      <c r="Q27" s="45">
        <v>0</v>
      </c>
      <c r="R27" s="45">
        <v>0</v>
      </c>
      <c r="S27" s="45">
        <v>0</v>
      </c>
      <c r="T27" s="45">
        <v>5</v>
      </c>
      <c r="U27" s="45">
        <v>5</v>
      </c>
      <c r="V27" s="45">
        <v>5</v>
      </c>
      <c r="W27" s="45">
        <v>4.5</v>
      </c>
      <c r="X27" s="45">
        <v>4.5</v>
      </c>
      <c r="Y27" s="45">
        <v>4.5</v>
      </c>
      <c r="Z27" s="45">
        <v>4.5</v>
      </c>
      <c r="AA27" s="45">
        <v>25</v>
      </c>
      <c r="AB27" s="45">
        <v>17</v>
      </c>
      <c r="AC27" s="45">
        <v>17</v>
      </c>
      <c r="AD27" s="45">
        <v>5</v>
      </c>
      <c r="AE27" s="45">
        <v>0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0</v>
      </c>
      <c r="M32" s="45">
        <v>0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0</v>
      </c>
      <c r="AA33" s="45">
        <v>0</v>
      </c>
      <c r="AB33" s="45">
        <v>0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5</v>
      </c>
      <c r="C38" s="45">
        <v>5</v>
      </c>
      <c r="D38" s="45">
        <v>5</v>
      </c>
      <c r="E38" s="45">
        <v>5</v>
      </c>
      <c r="F38" s="45">
        <v>5</v>
      </c>
      <c r="G38" s="45">
        <v>5</v>
      </c>
      <c r="H38" s="45">
        <v>5</v>
      </c>
      <c r="I38" s="45">
        <v>5</v>
      </c>
      <c r="J38" s="45">
        <v>5</v>
      </c>
      <c r="K38" s="45">
        <v>5</v>
      </c>
      <c r="L38" s="45">
        <v>5</v>
      </c>
      <c r="M38" s="45">
        <v>5</v>
      </c>
      <c r="N38" s="45">
        <v>5</v>
      </c>
      <c r="O38" s="45">
        <v>5</v>
      </c>
      <c r="P38" s="45">
        <v>5</v>
      </c>
      <c r="Q38" s="45">
        <v>5</v>
      </c>
      <c r="R38" s="45">
        <v>5</v>
      </c>
      <c r="S38" s="45">
        <v>5</v>
      </c>
      <c r="T38" s="45">
        <v>5</v>
      </c>
      <c r="U38" s="45">
        <v>5</v>
      </c>
      <c r="V38" s="45">
        <v>5</v>
      </c>
      <c r="W38" s="45">
        <v>5</v>
      </c>
      <c r="X38" s="45">
        <v>5</v>
      </c>
      <c r="Y38" s="45">
        <v>5</v>
      </c>
      <c r="Z38" s="45">
        <v>5</v>
      </c>
      <c r="AA38" s="45">
        <v>5</v>
      </c>
      <c r="AB38" s="45">
        <v>5</v>
      </c>
      <c r="AC38" s="45">
        <v>5</v>
      </c>
      <c r="AD38" s="45">
        <v>5</v>
      </c>
      <c r="AE38" s="45">
        <v>5</v>
      </c>
      <c r="AF38" s="45">
        <v>5</v>
      </c>
      <c r="AG38" s="49">
        <v>13</v>
      </c>
      <c r="AH38" s="47">
        <f t="shared" si="2"/>
        <v>5</v>
      </c>
      <c r="AI38" s="48">
        <f t="shared" si="3"/>
        <v>5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4</v>
      </c>
      <c r="L39" s="45">
        <v>4</v>
      </c>
      <c r="M39" s="45">
        <v>4</v>
      </c>
      <c r="N39" s="45">
        <v>4</v>
      </c>
      <c r="O39" s="45">
        <v>4</v>
      </c>
      <c r="P39" s="45">
        <v>0</v>
      </c>
      <c r="Q39" s="45">
        <v>0</v>
      </c>
      <c r="R39" s="45">
        <v>0</v>
      </c>
      <c r="S39" s="45">
        <v>0</v>
      </c>
      <c r="T39" s="45">
        <v>2</v>
      </c>
      <c r="U39" s="45">
        <v>2</v>
      </c>
      <c r="V39" s="45">
        <v>2</v>
      </c>
      <c r="W39" s="45">
        <v>2</v>
      </c>
      <c r="X39" s="45">
        <v>2</v>
      </c>
      <c r="Y39" s="45">
        <v>2</v>
      </c>
      <c r="Z39" s="45">
        <v>2</v>
      </c>
      <c r="AA39" s="45">
        <v>12</v>
      </c>
      <c r="AB39" s="45">
        <v>8</v>
      </c>
      <c r="AC39" s="45">
        <v>8</v>
      </c>
      <c r="AD39" s="45">
        <v>2.4</v>
      </c>
      <c r="AE39" s="45">
        <v>2.4</v>
      </c>
      <c r="AF39" s="45">
        <v>2.4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5</v>
      </c>
      <c r="C43" s="45">
        <v>5</v>
      </c>
      <c r="D43" s="45">
        <v>5</v>
      </c>
      <c r="E43" s="45">
        <v>5</v>
      </c>
      <c r="F43" s="45">
        <v>5</v>
      </c>
      <c r="G43" s="45">
        <v>5</v>
      </c>
      <c r="H43" s="45">
        <v>5</v>
      </c>
      <c r="I43" s="45">
        <v>5</v>
      </c>
      <c r="J43" s="45">
        <v>5</v>
      </c>
      <c r="K43" s="45">
        <v>5</v>
      </c>
      <c r="L43" s="45">
        <v>5</v>
      </c>
      <c r="M43" s="45">
        <v>5</v>
      </c>
      <c r="N43" s="45">
        <v>5</v>
      </c>
      <c r="O43" s="45">
        <v>5</v>
      </c>
      <c r="P43" s="45">
        <v>5</v>
      </c>
      <c r="Q43" s="45">
        <v>5</v>
      </c>
      <c r="R43" s="45">
        <v>5</v>
      </c>
      <c r="S43" s="45">
        <v>5</v>
      </c>
      <c r="T43" s="45">
        <v>5</v>
      </c>
      <c r="U43" s="45">
        <v>5</v>
      </c>
      <c r="V43" s="45">
        <v>5</v>
      </c>
      <c r="W43" s="45">
        <v>5</v>
      </c>
      <c r="X43" s="45">
        <v>5</v>
      </c>
      <c r="Y43" s="45">
        <v>5</v>
      </c>
      <c r="Z43" s="45">
        <v>5</v>
      </c>
      <c r="AA43" s="45">
        <v>5</v>
      </c>
      <c r="AB43" s="45">
        <v>5</v>
      </c>
      <c r="AC43" s="45">
        <v>5</v>
      </c>
      <c r="AD43" s="45">
        <v>5</v>
      </c>
      <c r="AE43" s="45">
        <v>5</v>
      </c>
      <c r="AF43" s="45">
        <v>5</v>
      </c>
      <c r="AG43" s="51">
        <v>11.88</v>
      </c>
      <c r="AH43" s="47">
        <f t="shared" si="2"/>
        <v>5</v>
      </c>
      <c r="AI43" s="48">
        <f t="shared" si="3"/>
        <v>5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5</v>
      </c>
      <c r="C45" s="45">
        <v>5</v>
      </c>
      <c r="D45" s="45">
        <v>5</v>
      </c>
      <c r="E45" s="45">
        <v>5</v>
      </c>
      <c r="F45" s="45">
        <v>5</v>
      </c>
      <c r="G45" s="45">
        <v>5</v>
      </c>
      <c r="H45" s="45">
        <v>5</v>
      </c>
      <c r="I45" s="45">
        <v>5</v>
      </c>
      <c r="J45" s="45">
        <v>5</v>
      </c>
      <c r="K45" s="45">
        <v>5</v>
      </c>
      <c r="L45" s="45">
        <v>5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v>112</v>
      </c>
      <c r="C49" s="56">
        <v>112</v>
      </c>
      <c r="D49" s="56">
        <v>112</v>
      </c>
      <c r="E49" s="56">
        <v>112</v>
      </c>
      <c r="F49" s="56">
        <v>112</v>
      </c>
      <c r="G49" s="56">
        <v>112</v>
      </c>
      <c r="H49" s="56">
        <v>112</v>
      </c>
      <c r="I49" s="56">
        <v>112</v>
      </c>
      <c r="J49" s="56">
        <v>112</v>
      </c>
      <c r="K49" s="56">
        <v>112</v>
      </c>
      <c r="L49" s="56">
        <v>112</v>
      </c>
      <c r="M49" s="56">
        <v>108</v>
      </c>
      <c r="N49" s="58">
        <f>28.5+79.6</f>
        <v>108.1</v>
      </c>
      <c r="O49" s="58">
        <f>28.5+79.6</f>
        <v>108.1</v>
      </c>
      <c r="P49" s="58">
        <f>28.5+79.6</f>
        <v>108.1</v>
      </c>
      <c r="Q49" s="58">
        <f>28.5+79.6</f>
        <v>108.1</v>
      </c>
      <c r="R49" s="58">
        <f>23.5+69.6</f>
        <v>93.1</v>
      </c>
      <c r="S49" s="58">
        <v>104</v>
      </c>
      <c r="T49" s="58">
        <v>104</v>
      </c>
      <c r="U49" s="58">
        <v>104</v>
      </c>
      <c r="V49" s="58">
        <v>104</v>
      </c>
      <c r="W49" s="58">
        <v>104</v>
      </c>
      <c r="X49" s="58">
        <v>104</v>
      </c>
      <c r="Y49" s="58">
        <v>104</v>
      </c>
      <c r="Z49" s="58">
        <v>104</v>
      </c>
      <c r="AA49" s="56">
        <v>104</v>
      </c>
      <c r="AB49" s="56">
        <f>76.1+27.4</f>
        <v>103.5</v>
      </c>
      <c r="AC49" s="56">
        <f>79.4+28.5</f>
        <v>107.9</v>
      </c>
      <c r="AD49" s="56">
        <f>80.4+28.8</f>
        <v>109.2</v>
      </c>
      <c r="AE49" s="56">
        <f>27.7+75.2</f>
        <v>102.9</v>
      </c>
      <c r="AF49" s="56">
        <f>29.5+81.4</f>
        <v>110.9</v>
      </c>
      <c r="AG49" s="54">
        <v>240</v>
      </c>
      <c r="AH49" s="47">
        <f t="shared" si="2"/>
        <v>112</v>
      </c>
      <c r="AI49" s="48">
        <f t="shared" si="3"/>
        <v>93.1</v>
      </c>
      <c r="AK49" s="50"/>
    </row>
    <row r="50" spans="1:41" ht="15.75" thickBot="1" x14ac:dyDescent="0.3">
      <c r="A50" s="59" t="s">
        <v>58</v>
      </c>
      <c r="B50" s="60">
        <v>981.95</v>
      </c>
      <c r="C50" s="60">
        <f t="shared" ref="C50:AD50" si="4">SUM(C11:C48)</f>
        <v>944.55</v>
      </c>
      <c r="D50" s="60">
        <f t="shared" si="4"/>
        <v>944.55</v>
      </c>
      <c r="E50" s="60">
        <f t="shared" si="4"/>
        <v>944.55</v>
      </c>
      <c r="F50" s="60">
        <f t="shared" si="4"/>
        <v>944.55</v>
      </c>
      <c r="G50" s="60">
        <f t="shared" si="4"/>
        <v>944.55</v>
      </c>
      <c r="H50" s="60">
        <f t="shared" si="4"/>
        <v>944.55</v>
      </c>
      <c r="I50" s="60">
        <f t="shared" si="4"/>
        <v>944.55</v>
      </c>
      <c r="J50" s="60">
        <f t="shared" si="4"/>
        <v>944.55</v>
      </c>
      <c r="K50" s="60">
        <f>SUM(K11:K48)</f>
        <v>1006.55</v>
      </c>
      <c r="L50" s="60">
        <f t="shared" si="4"/>
        <v>999.55</v>
      </c>
      <c r="M50" s="60">
        <f t="shared" si="4"/>
        <v>1052.3</v>
      </c>
      <c r="N50" s="60">
        <f t="shared" si="4"/>
        <v>1084.3</v>
      </c>
      <c r="O50" s="60">
        <f t="shared" si="4"/>
        <v>1084.3</v>
      </c>
      <c r="P50" s="60">
        <f t="shared" si="4"/>
        <v>1032.7</v>
      </c>
      <c r="Q50" s="60">
        <f t="shared" si="4"/>
        <v>1042.7</v>
      </c>
      <c r="R50" s="60">
        <f t="shared" si="4"/>
        <v>1042.7</v>
      </c>
      <c r="S50" s="60">
        <f t="shared" si="4"/>
        <v>1035.5</v>
      </c>
      <c r="T50" s="60">
        <f t="shared" si="4"/>
        <v>1007.8</v>
      </c>
      <c r="U50" s="60">
        <f t="shared" si="4"/>
        <v>1007.8</v>
      </c>
      <c r="V50" s="60">
        <f t="shared" si="4"/>
        <v>1026.8</v>
      </c>
      <c r="W50" s="60">
        <f t="shared" si="4"/>
        <v>1021.3</v>
      </c>
      <c r="X50" s="60">
        <f t="shared" si="4"/>
        <v>1012.3</v>
      </c>
      <c r="Y50" s="60">
        <f t="shared" si="4"/>
        <v>1012.3</v>
      </c>
      <c r="Z50" s="60">
        <f t="shared" si="4"/>
        <v>1012.3</v>
      </c>
      <c r="AA50" s="60">
        <f t="shared" si="4"/>
        <v>1089.4000000000001</v>
      </c>
      <c r="AB50" s="60">
        <f t="shared" si="4"/>
        <v>1089.0999999999999</v>
      </c>
      <c r="AC50" s="60">
        <f t="shared" si="4"/>
        <v>1089.0999999999999</v>
      </c>
      <c r="AD50" s="60">
        <f t="shared" si="4"/>
        <v>1044.0999999999999</v>
      </c>
      <c r="AE50" s="60">
        <f>SUM(AE11:AE48)</f>
        <v>1014.5000000000001</v>
      </c>
      <c r="AF50" s="60">
        <f>SUM(AF11:AF48)</f>
        <v>1014.5000000000001</v>
      </c>
      <c r="AG50" s="61">
        <f>SUM(AG13:AG48)</f>
        <v>922.14</v>
      </c>
      <c r="AH50" s="47">
        <f t="shared" si="2"/>
        <v>1089.4000000000001</v>
      </c>
      <c r="AI50" s="48">
        <f t="shared" si="3"/>
        <v>944.55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175">
        <v>456</v>
      </c>
      <c r="O51" s="175">
        <v>456</v>
      </c>
      <c r="P51" s="17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175">
        <v>456</v>
      </c>
      <c r="AC51" s="175">
        <v>456</v>
      </c>
      <c r="AD51" s="175">
        <v>456</v>
      </c>
      <c r="AE51" s="175">
        <v>456</v>
      </c>
      <c r="AF51" s="17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55</v>
      </c>
      <c r="L52" s="64">
        <v>55</v>
      </c>
      <c r="M52" s="64">
        <v>55</v>
      </c>
      <c r="N52" s="64">
        <v>55</v>
      </c>
      <c r="O52" s="64">
        <v>55</v>
      </c>
      <c r="P52" s="64">
        <v>55</v>
      </c>
      <c r="Q52" s="64">
        <v>55</v>
      </c>
      <c r="R52" s="64">
        <v>55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v>538</v>
      </c>
      <c r="C54" s="60">
        <f t="shared" ref="C54:AG54" si="5">SUM(C51:C53)</f>
        <v>538</v>
      </c>
      <c r="D54" s="60">
        <f t="shared" si="5"/>
        <v>538</v>
      </c>
      <c r="E54" s="60">
        <f t="shared" si="5"/>
        <v>538</v>
      </c>
      <c r="F54" s="60">
        <f t="shared" si="5"/>
        <v>538</v>
      </c>
      <c r="G54" s="60">
        <f t="shared" si="5"/>
        <v>538</v>
      </c>
      <c r="H54" s="60">
        <f t="shared" si="5"/>
        <v>538</v>
      </c>
      <c r="I54" s="60">
        <f t="shared" si="5"/>
        <v>538</v>
      </c>
      <c r="J54" s="60">
        <f t="shared" si="5"/>
        <v>538</v>
      </c>
      <c r="K54" s="60">
        <f>SUM(K51:K53)</f>
        <v>533</v>
      </c>
      <c r="L54" s="60">
        <f t="shared" si="5"/>
        <v>533</v>
      </c>
      <c r="M54" s="60">
        <f t="shared" si="5"/>
        <v>533</v>
      </c>
      <c r="N54" s="60">
        <f t="shared" si="5"/>
        <v>533</v>
      </c>
      <c r="O54" s="60">
        <f t="shared" si="5"/>
        <v>533</v>
      </c>
      <c r="P54" s="60">
        <f t="shared" si="5"/>
        <v>533</v>
      </c>
      <c r="Q54" s="60">
        <f t="shared" si="5"/>
        <v>533</v>
      </c>
      <c r="R54" s="60">
        <f t="shared" si="5"/>
        <v>533</v>
      </c>
      <c r="S54" s="60">
        <f t="shared" si="5"/>
        <v>538</v>
      </c>
      <c r="T54" s="60">
        <f t="shared" si="5"/>
        <v>538</v>
      </c>
      <c r="U54" s="60">
        <f t="shared" si="5"/>
        <v>538</v>
      </c>
      <c r="V54" s="60">
        <f t="shared" si="5"/>
        <v>538</v>
      </c>
      <c r="W54" s="60">
        <f t="shared" si="5"/>
        <v>538</v>
      </c>
      <c r="X54" s="60">
        <f t="shared" si="5"/>
        <v>538</v>
      </c>
      <c r="Y54" s="60">
        <f t="shared" si="5"/>
        <v>538</v>
      </c>
      <c r="Z54" s="60">
        <f t="shared" si="5"/>
        <v>538</v>
      </c>
      <c r="AA54" s="60">
        <f t="shared" si="5"/>
        <v>538</v>
      </c>
      <c r="AB54" s="60">
        <f t="shared" si="5"/>
        <v>538</v>
      </c>
      <c r="AC54" s="60">
        <f t="shared" si="5"/>
        <v>538</v>
      </c>
      <c r="AD54" s="60">
        <f t="shared" si="5"/>
        <v>538</v>
      </c>
      <c r="AE54" s="60">
        <f>SUM(AE51:AE53)</f>
        <v>538.4</v>
      </c>
      <c r="AF54" s="60">
        <f>SUM(AF51:AF53)</f>
        <v>538.4</v>
      </c>
      <c r="AG54" s="61">
        <f t="shared" si="5"/>
        <v>538.1</v>
      </c>
      <c r="AH54" s="47">
        <f t="shared" si="2"/>
        <v>538.4</v>
      </c>
      <c r="AI54" s="48">
        <f t="shared" si="3"/>
        <v>533</v>
      </c>
      <c r="AK54" s="50"/>
    </row>
    <row r="55" spans="1:41" x14ac:dyDescent="0.25">
      <c r="A55" s="44" t="s">
        <v>63</v>
      </c>
      <c r="B55" s="45">
        <v>121</v>
      </c>
      <c r="C55" s="45">
        <v>121</v>
      </c>
      <c r="D55" s="45">
        <v>121</v>
      </c>
      <c r="E55" s="45">
        <v>121</v>
      </c>
      <c r="F55" s="45">
        <v>121</v>
      </c>
      <c r="G55" s="45">
        <v>121</v>
      </c>
      <c r="H55" s="45">
        <v>121</v>
      </c>
      <c r="I55" s="45">
        <v>121</v>
      </c>
      <c r="J55" s="45">
        <v>121</v>
      </c>
      <c r="K55" s="45">
        <v>133.4</v>
      </c>
      <c r="L55" s="45">
        <v>133.4</v>
      </c>
      <c r="M55" s="45">
        <v>133.4</v>
      </c>
      <c r="N55" s="45">
        <v>133.19999999999999</v>
      </c>
      <c r="O55" s="45">
        <v>132.9</v>
      </c>
      <c r="P55" s="45">
        <v>134</v>
      </c>
      <c r="Q55" s="45">
        <v>134</v>
      </c>
      <c r="R55" s="45">
        <v>116</v>
      </c>
      <c r="S55" s="45">
        <v>116</v>
      </c>
      <c r="T55" s="45">
        <v>91</v>
      </c>
      <c r="U55" s="45">
        <v>91</v>
      </c>
      <c r="V55" s="45">
        <v>91</v>
      </c>
      <c r="W55" s="45">
        <v>91</v>
      </c>
      <c r="X55" s="45">
        <v>120.4</v>
      </c>
      <c r="Y55" s="45">
        <v>134.19999999999999</v>
      </c>
      <c r="Z55" s="45">
        <v>134.19999999999999</v>
      </c>
      <c r="AA55" s="45">
        <v>134.19999999999999</v>
      </c>
      <c r="AB55" s="45">
        <v>134.9</v>
      </c>
      <c r="AC55" s="45">
        <v>134.9</v>
      </c>
      <c r="AD55" s="45">
        <v>135.4</v>
      </c>
      <c r="AE55" s="45">
        <v>135.19999999999999</v>
      </c>
      <c r="AF55" s="45">
        <v>135.19999999999999</v>
      </c>
      <c r="AG55" s="51">
        <v>144</v>
      </c>
      <c r="AH55" s="47">
        <f t="shared" si="2"/>
        <v>135.4</v>
      </c>
      <c r="AI55" s="48">
        <f t="shared" si="3"/>
        <v>91</v>
      </c>
      <c r="AK55" s="50"/>
    </row>
    <row r="56" spans="1:41" x14ac:dyDescent="0.25">
      <c r="A56" s="53" t="s">
        <v>64</v>
      </c>
      <c r="B56" s="64">
        <v>47</v>
      </c>
      <c r="C56" s="64">
        <v>47</v>
      </c>
      <c r="D56" s="64">
        <v>47</v>
      </c>
      <c r="E56" s="64">
        <v>47</v>
      </c>
      <c r="F56" s="64">
        <v>47</v>
      </c>
      <c r="G56" s="64">
        <v>47</v>
      </c>
      <c r="H56" s="64">
        <v>47</v>
      </c>
      <c r="I56" s="64">
        <v>47</v>
      </c>
      <c r="J56" s="64">
        <v>47</v>
      </c>
      <c r="K56" s="64">
        <v>59.9</v>
      </c>
      <c r="L56" s="64">
        <v>59.9</v>
      </c>
      <c r="M56" s="64">
        <v>59.9</v>
      </c>
      <c r="N56" s="64">
        <v>57.9</v>
      </c>
      <c r="O56" s="64">
        <v>57.8</v>
      </c>
      <c r="P56" s="64">
        <v>70.5</v>
      </c>
      <c r="Q56" s="64">
        <v>70.5</v>
      </c>
      <c r="R56" s="64">
        <v>55.4</v>
      </c>
      <c r="S56" s="64">
        <v>55.4</v>
      </c>
      <c r="T56" s="64">
        <v>71.2</v>
      </c>
      <c r="U56" s="64">
        <v>71.2</v>
      </c>
      <c r="V56" s="64">
        <v>71.2</v>
      </c>
      <c r="W56" s="64">
        <v>71.2</v>
      </c>
      <c r="X56" s="64">
        <v>71.2</v>
      </c>
      <c r="Y56" s="64">
        <v>71.2</v>
      </c>
      <c r="Z56" s="64">
        <v>71.2</v>
      </c>
      <c r="AA56" s="64">
        <v>70.3</v>
      </c>
      <c r="AB56" s="45">
        <v>69.900000000000006</v>
      </c>
      <c r="AC56" s="45">
        <v>69.900000000000006</v>
      </c>
      <c r="AD56" s="64">
        <v>70.099999999999994</v>
      </c>
      <c r="AE56" s="64">
        <v>70.3</v>
      </c>
      <c r="AF56" s="64">
        <v>60</v>
      </c>
      <c r="AG56" s="54">
        <v>70</v>
      </c>
      <c r="AH56" s="47">
        <f t="shared" si="2"/>
        <v>71.2</v>
      </c>
      <c r="AI56" s="48">
        <f t="shared" si="3"/>
        <v>47</v>
      </c>
      <c r="AK56" s="50"/>
    </row>
    <row r="57" spans="1:41" x14ac:dyDescent="0.25">
      <c r="A57" s="53" t="s">
        <v>65</v>
      </c>
      <c r="B57" s="64">
        <v>57</v>
      </c>
      <c r="C57" s="64">
        <v>57</v>
      </c>
      <c r="D57" s="64">
        <v>57</v>
      </c>
      <c r="E57" s="64">
        <v>57</v>
      </c>
      <c r="F57" s="64">
        <v>57</v>
      </c>
      <c r="G57" s="64">
        <v>57</v>
      </c>
      <c r="H57" s="64">
        <v>57</v>
      </c>
      <c r="I57" s="64">
        <v>57</v>
      </c>
      <c r="J57" s="64">
        <v>57</v>
      </c>
      <c r="K57" s="64">
        <v>63.2</v>
      </c>
      <c r="L57" s="64">
        <v>63.2</v>
      </c>
      <c r="M57" s="64">
        <v>63.2</v>
      </c>
      <c r="N57" s="64">
        <v>56.2</v>
      </c>
      <c r="O57" s="64">
        <v>56.9</v>
      </c>
      <c r="P57" s="64">
        <v>63.8</v>
      </c>
      <c r="Q57" s="64">
        <v>63.8</v>
      </c>
      <c r="R57" s="64">
        <v>50</v>
      </c>
      <c r="S57" s="64">
        <v>50</v>
      </c>
      <c r="T57" s="64">
        <v>64.099999999999994</v>
      </c>
      <c r="U57" s="64">
        <v>64.099999999999994</v>
      </c>
      <c r="V57" s="64">
        <v>64.099999999999994</v>
      </c>
      <c r="W57" s="64">
        <v>64.099999999999994</v>
      </c>
      <c r="X57" s="64">
        <v>64.099999999999994</v>
      </c>
      <c r="Y57" s="64">
        <v>64.099999999999994</v>
      </c>
      <c r="Z57" s="64">
        <v>64.099999999999994</v>
      </c>
      <c r="AA57" s="64">
        <v>63</v>
      </c>
      <c r="AB57" s="45">
        <v>63.8</v>
      </c>
      <c r="AC57" s="45">
        <v>63.8</v>
      </c>
      <c r="AD57" s="64">
        <v>56.5</v>
      </c>
      <c r="AE57" s="64">
        <v>63.9</v>
      </c>
      <c r="AF57" s="64">
        <v>63.5</v>
      </c>
      <c r="AG57" s="54">
        <v>69</v>
      </c>
      <c r="AH57" s="47">
        <f t="shared" si="2"/>
        <v>64.099999999999994</v>
      </c>
      <c r="AI57" s="48">
        <f t="shared" si="3"/>
        <v>50</v>
      </c>
      <c r="AK57" s="50"/>
    </row>
    <row r="58" spans="1:41" x14ac:dyDescent="0.25">
      <c r="A58" s="53" t="s">
        <v>66</v>
      </c>
      <c r="B58" s="64">
        <v>46</v>
      </c>
      <c r="C58" s="64">
        <v>46</v>
      </c>
      <c r="D58" s="64">
        <v>46</v>
      </c>
      <c r="E58" s="64">
        <v>46</v>
      </c>
      <c r="F58" s="64">
        <v>46</v>
      </c>
      <c r="G58" s="64">
        <v>46</v>
      </c>
      <c r="H58" s="64">
        <v>46</v>
      </c>
      <c r="I58" s="64">
        <v>46</v>
      </c>
      <c r="J58" s="64">
        <v>46</v>
      </c>
      <c r="K58" s="64">
        <v>61.4</v>
      </c>
      <c r="L58" s="64">
        <v>50</v>
      </c>
      <c r="M58" s="64">
        <v>0</v>
      </c>
      <c r="N58" s="64">
        <v>0</v>
      </c>
      <c r="O58" s="64">
        <v>0</v>
      </c>
      <c r="P58" s="64">
        <v>0</v>
      </c>
      <c r="Q58" s="64">
        <v>0</v>
      </c>
      <c r="R58" s="64">
        <v>50.4</v>
      </c>
      <c r="S58" s="64">
        <v>50.4</v>
      </c>
      <c r="T58" s="64">
        <v>62</v>
      </c>
      <c r="U58" s="64">
        <v>62</v>
      </c>
      <c r="V58" s="64">
        <v>62</v>
      </c>
      <c r="W58" s="64">
        <v>62</v>
      </c>
      <c r="X58" s="64">
        <v>62</v>
      </c>
      <c r="Y58" s="64">
        <v>62</v>
      </c>
      <c r="Z58" s="64">
        <v>62</v>
      </c>
      <c r="AA58" s="64">
        <v>60.2</v>
      </c>
      <c r="AB58" s="45">
        <v>60.2</v>
      </c>
      <c r="AC58" s="45">
        <v>60.2</v>
      </c>
      <c r="AD58" s="64">
        <v>60.4</v>
      </c>
      <c r="AE58" s="64">
        <v>55</v>
      </c>
      <c r="AF58" s="64">
        <v>55</v>
      </c>
      <c r="AG58" s="54">
        <v>60</v>
      </c>
      <c r="AH58" s="47">
        <f t="shared" si="2"/>
        <v>62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64">
        <v>28</v>
      </c>
      <c r="G59" s="64">
        <v>28</v>
      </c>
      <c r="H59" s="64">
        <v>28</v>
      </c>
      <c r="I59" s="64">
        <v>28</v>
      </c>
      <c r="J59" s="64">
        <v>28</v>
      </c>
      <c r="K59" s="64">
        <v>28</v>
      </c>
      <c r="L59" s="64">
        <v>28</v>
      </c>
      <c r="M59" s="64">
        <v>28</v>
      </c>
      <c r="N59" s="64">
        <v>24</v>
      </c>
      <c r="O59" s="64">
        <v>24</v>
      </c>
      <c r="P59" s="64">
        <v>28</v>
      </c>
      <c r="Q59" s="64">
        <v>28</v>
      </c>
      <c r="R59" s="64">
        <v>28</v>
      </c>
      <c r="S59" s="64">
        <v>28</v>
      </c>
      <c r="T59" s="64">
        <v>28</v>
      </c>
      <c r="U59" s="64">
        <v>28</v>
      </c>
      <c r="V59" s="64">
        <v>28</v>
      </c>
      <c r="W59" s="64">
        <v>28</v>
      </c>
      <c r="X59" s="64">
        <v>15</v>
      </c>
      <c r="Y59" s="64">
        <v>28</v>
      </c>
      <c r="Z59" s="64">
        <v>28</v>
      </c>
      <c r="AA59" s="64">
        <v>28</v>
      </c>
      <c r="AB59" s="45">
        <v>28</v>
      </c>
      <c r="AC59" s="45">
        <v>28</v>
      </c>
      <c r="AD59" s="64">
        <v>28</v>
      </c>
      <c r="AE59" s="64">
        <v>28</v>
      </c>
      <c r="AF59" s="64">
        <v>28</v>
      </c>
      <c r="AG59" s="54">
        <v>30</v>
      </c>
      <c r="AH59" s="47">
        <f t="shared" si="2"/>
        <v>28</v>
      </c>
      <c r="AI59" s="48">
        <f t="shared" si="3"/>
        <v>15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9</v>
      </c>
      <c r="N60" s="64">
        <v>12.3</v>
      </c>
      <c r="O60" s="64">
        <v>15.7</v>
      </c>
      <c r="P60" s="64">
        <v>15</v>
      </c>
      <c r="Q60" s="64">
        <v>15</v>
      </c>
      <c r="R60" s="64">
        <v>14.4</v>
      </c>
      <c r="S60" s="64">
        <v>14.4</v>
      </c>
      <c r="T60" s="64">
        <v>12.6</v>
      </c>
      <c r="U60" s="64">
        <v>4</v>
      </c>
      <c r="V60" s="64">
        <v>2</v>
      </c>
      <c r="W60" s="64">
        <v>0.9</v>
      </c>
      <c r="X60" s="64">
        <v>0</v>
      </c>
      <c r="Y60" s="64">
        <v>0</v>
      </c>
      <c r="Z60" s="64">
        <v>0</v>
      </c>
      <c r="AA60" s="64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15.7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9</v>
      </c>
      <c r="C61" s="64">
        <v>9</v>
      </c>
      <c r="D61" s="64">
        <v>9</v>
      </c>
      <c r="E61" s="64">
        <v>9</v>
      </c>
      <c r="F61" s="64">
        <v>9</v>
      </c>
      <c r="G61" s="64">
        <v>9</v>
      </c>
      <c r="H61" s="64">
        <v>9</v>
      </c>
      <c r="I61" s="64">
        <v>9</v>
      </c>
      <c r="J61" s="64">
        <v>9</v>
      </c>
      <c r="K61" s="64">
        <v>9</v>
      </c>
      <c r="L61" s="64">
        <v>9</v>
      </c>
      <c r="M61" s="64">
        <v>9</v>
      </c>
      <c r="N61" s="64">
        <v>12</v>
      </c>
      <c r="O61" s="64">
        <v>12</v>
      </c>
      <c r="P61" s="64">
        <v>13</v>
      </c>
      <c r="Q61" s="64">
        <v>13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13</v>
      </c>
      <c r="AI61" s="48">
        <f t="shared" si="3"/>
        <v>9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0</v>
      </c>
      <c r="N62" s="64">
        <v>0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5.6</v>
      </c>
      <c r="U62" s="64">
        <v>5.6</v>
      </c>
      <c r="V62" s="64">
        <v>5.6</v>
      </c>
      <c r="W62" s="64">
        <v>5.6</v>
      </c>
      <c r="X62" s="64">
        <v>5.6</v>
      </c>
      <c r="Y62" s="64">
        <v>5.6</v>
      </c>
      <c r="Z62" s="64">
        <v>5.6</v>
      </c>
      <c r="AA62" s="64">
        <v>5.6</v>
      </c>
      <c r="AB62" s="64">
        <v>5.6</v>
      </c>
      <c r="AC62" s="64">
        <v>5.6</v>
      </c>
      <c r="AD62" s="64">
        <v>5.6</v>
      </c>
      <c r="AE62" s="64">
        <v>5.6</v>
      </c>
      <c r="AF62" s="64">
        <v>5.6</v>
      </c>
      <c r="AG62" s="54">
        <v>15</v>
      </c>
      <c r="AH62" s="47">
        <f t="shared" si="2"/>
        <v>5.6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9.5</v>
      </c>
      <c r="C63" s="64">
        <v>9.5</v>
      </c>
      <c r="D63" s="64">
        <v>9.5</v>
      </c>
      <c r="E63" s="64">
        <v>9.5</v>
      </c>
      <c r="F63" s="64">
        <v>9.5</v>
      </c>
      <c r="G63" s="64">
        <v>9.5</v>
      </c>
      <c r="H63" s="64">
        <v>9.5</v>
      </c>
      <c r="I63" s="64">
        <v>9.5</v>
      </c>
      <c r="J63" s="64">
        <v>9.5</v>
      </c>
      <c r="K63" s="64">
        <v>9.5</v>
      </c>
      <c r="L63" s="64">
        <v>9.5</v>
      </c>
      <c r="M63" s="64">
        <v>9.5</v>
      </c>
      <c r="N63" s="64">
        <v>9.5</v>
      </c>
      <c r="O63" s="64">
        <v>9.5</v>
      </c>
      <c r="P63" s="64">
        <v>11.2</v>
      </c>
      <c r="Q63" s="64">
        <v>11.2</v>
      </c>
      <c r="R63" s="64">
        <v>8.3000000000000007</v>
      </c>
      <c r="S63" s="64">
        <v>8.3000000000000007</v>
      </c>
      <c r="T63" s="64">
        <v>8.3000000000000007</v>
      </c>
      <c r="U63" s="64">
        <v>8.3000000000000007</v>
      </c>
      <c r="V63" s="64">
        <v>8.3000000000000007</v>
      </c>
      <c r="W63" s="64">
        <v>8.3000000000000007</v>
      </c>
      <c r="X63" s="64">
        <v>8.3000000000000007</v>
      </c>
      <c r="Y63" s="64">
        <v>8.3000000000000007</v>
      </c>
      <c r="Z63" s="64">
        <v>8.3000000000000007</v>
      </c>
      <c r="AA63" s="64">
        <v>8.3000000000000007</v>
      </c>
      <c r="AB63" s="64">
        <v>8.3000000000000007</v>
      </c>
      <c r="AC63" s="64">
        <v>8.3000000000000007</v>
      </c>
      <c r="AD63" s="64">
        <v>8.3000000000000007</v>
      </c>
      <c r="AE63" s="64">
        <v>9</v>
      </c>
      <c r="AF63" s="64">
        <v>9</v>
      </c>
      <c r="AG63" s="54">
        <v>14.1</v>
      </c>
      <c r="AH63" s="47">
        <f t="shared" si="2"/>
        <v>11.2</v>
      </c>
      <c r="AI63" s="48">
        <f t="shared" si="3"/>
        <v>8.3000000000000007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4.4000000000000004</v>
      </c>
      <c r="C64" s="64">
        <v>4.4000000000000004</v>
      </c>
      <c r="D64" s="64">
        <v>4.4000000000000004</v>
      </c>
      <c r="E64" s="64">
        <v>4.4000000000000004</v>
      </c>
      <c r="F64" s="64">
        <v>4.4000000000000004</v>
      </c>
      <c r="G64" s="64">
        <v>4.4000000000000004</v>
      </c>
      <c r="H64" s="64">
        <v>4.4000000000000004</v>
      </c>
      <c r="I64" s="64">
        <v>4.4000000000000004</v>
      </c>
      <c r="J64" s="64">
        <v>4.4000000000000004</v>
      </c>
      <c r="K64" s="64">
        <v>4.4000000000000004</v>
      </c>
      <c r="L64" s="64">
        <v>12</v>
      </c>
      <c r="M64" s="64">
        <v>12.7</v>
      </c>
      <c r="N64" s="64">
        <v>7.3</v>
      </c>
      <c r="O64" s="64">
        <v>13.7</v>
      </c>
      <c r="P64" s="64">
        <v>13.7</v>
      </c>
      <c r="Q64" s="64">
        <v>13.7</v>
      </c>
      <c r="R64" s="64">
        <v>13.7</v>
      </c>
      <c r="S64" s="64">
        <v>13.7</v>
      </c>
      <c r="T64" s="64">
        <v>6.5</v>
      </c>
      <c r="U64" s="64">
        <v>6.5</v>
      </c>
      <c r="V64" s="64">
        <v>6.5</v>
      </c>
      <c r="W64" s="64">
        <v>6.5</v>
      </c>
      <c r="X64" s="64">
        <v>6.5</v>
      </c>
      <c r="Y64" s="64">
        <v>5.0999999999999996</v>
      </c>
      <c r="Z64" s="64">
        <v>5.0999999999999996</v>
      </c>
      <c r="AA64" s="64">
        <v>5.0999999999999996</v>
      </c>
      <c r="AB64" s="64">
        <v>5.0999999999999996</v>
      </c>
      <c r="AC64" s="64">
        <v>5.0999999999999996</v>
      </c>
      <c r="AD64" s="64">
        <v>5.0999999999999996</v>
      </c>
      <c r="AE64" s="64">
        <v>7.7</v>
      </c>
      <c r="AF64" s="64">
        <v>7.7</v>
      </c>
      <c r="AG64" s="54">
        <v>14</v>
      </c>
      <c r="AH64" s="47">
        <f t="shared" si="2"/>
        <v>13.7</v>
      </c>
      <c r="AI64" s="48">
        <f t="shared" si="3"/>
        <v>4.4000000000000004</v>
      </c>
      <c r="AK64" s="50"/>
    </row>
    <row r="65" spans="1:40" x14ac:dyDescent="0.25">
      <c r="A65" s="53" t="s">
        <v>73</v>
      </c>
      <c r="B65" s="64">
        <v>8.5</v>
      </c>
      <c r="C65" s="64">
        <v>8.5</v>
      </c>
      <c r="D65" s="64">
        <v>8.5</v>
      </c>
      <c r="E65" s="64">
        <v>8.5</v>
      </c>
      <c r="F65" s="64">
        <v>8.5</v>
      </c>
      <c r="G65" s="64">
        <v>8.5</v>
      </c>
      <c r="H65" s="64">
        <v>8.5</v>
      </c>
      <c r="I65" s="64">
        <v>8.5</v>
      </c>
      <c r="J65" s="64">
        <v>8.5</v>
      </c>
      <c r="K65" s="64">
        <v>8.5</v>
      </c>
      <c r="L65" s="64">
        <v>8.5</v>
      </c>
      <c r="M65" s="64">
        <v>8.5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8.5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384.64</v>
      </c>
      <c r="C68" s="60">
        <f t="shared" ref="C68:AG68" si="6">SUM(C55:C67)</f>
        <v>340.14</v>
      </c>
      <c r="D68" s="60">
        <f t="shared" si="6"/>
        <v>340.14</v>
      </c>
      <c r="E68" s="60">
        <f t="shared" si="6"/>
        <v>340.14</v>
      </c>
      <c r="F68" s="60">
        <f t="shared" si="6"/>
        <v>340.14</v>
      </c>
      <c r="G68" s="60">
        <f t="shared" si="6"/>
        <v>340.14</v>
      </c>
      <c r="H68" s="60">
        <f t="shared" si="6"/>
        <v>340.14</v>
      </c>
      <c r="I68" s="60">
        <f t="shared" si="6"/>
        <v>340.14</v>
      </c>
      <c r="J68" s="60">
        <f t="shared" si="6"/>
        <v>340.14</v>
      </c>
      <c r="K68" s="60">
        <f>SUM(K55:K67)</f>
        <v>387.03999999999996</v>
      </c>
      <c r="L68" s="60">
        <f t="shared" si="6"/>
        <v>383.24</v>
      </c>
      <c r="M68" s="60">
        <f t="shared" si="6"/>
        <v>342.94</v>
      </c>
      <c r="N68" s="60">
        <f t="shared" si="6"/>
        <v>331.14000000000004</v>
      </c>
      <c r="O68" s="60">
        <f t="shared" si="6"/>
        <v>341.24</v>
      </c>
      <c r="P68" s="60">
        <f t="shared" si="6"/>
        <v>367.94</v>
      </c>
      <c r="Q68" s="60">
        <f t="shared" si="6"/>
        <v>367.94</v>
      </c>
      <c r="R68" s="60">
        <f t="shared" si="6"/>
        <v>366.94</v>
      </c>
      <c r="S68" s="60">
        <f t="shared" si="6"/>
        <v>366.94</v>
      </c>
      <c r="T68" s="60">
        <f t="shared" si="6"/>
        <v>380.04</v>
      </c>
      <c r="U68" s="60">
        <f t="shared" si="6"/>
        <v>371.44</v>
      </c>
      <c r="V68" s="60">
        <f t="shared" si="6"/>
        <v>369.44</v>
      </c>
      <c r="W68" s="60">
        <f t="shared" si="6"/>
        <v>368.34</v>
      </c>
      <c r="X68" s="60">
        <f t="shared" si="6"/>
        <v>383.84000000000009</v>
      </c>
      <c r="Y68" s="60">
        <f t="shared" si="6"/>
        <v>409.24000000000007</v>
      </c>
      <c r="Z68" s="60">
        <f t="shared" si="6"/>
        <v>409.24000000000007</v>
      </c>
      <c r="AA68" s="60">
        <f t="shared" si="6"/>
        <v>405.44000000000005</v>
      </c>
      <c r="AB68" s="60">
        <f t="shared" si="6"/>
        <v>406.54000000000008</v>
      </c>
      <c r="AC68" s="60">
        <f t="shared" si="6"/>
        <v>406.54000000000008</v>
      </c>
      <c r="AD68" s="60">
        <f t="shared" si="6"/>
        <v>400.14000000000004</v>
      </c>
      <c r="AE68" s="60">
        <f>SUM(AE55:AE67)</f>
        <v>405.44</v>
      </c>
      <c r="AF68" s="60">
        <f>SUM(AF55:AF67)</f>
        <v>394.74</v>
      </c>
      <c r="AG68" s="61">
        <f t="shared" si="6"/>
        <v>489.91</v>
      </c>
      <c r="AH68" s="47">
        <f t="shared" si="2"/>
        <v>409.24000000000007</v>
      </c>
      <c r="AI68" s="48">
        <f t="shared" si="3"/>
        <v>331.14000000000004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5.0999999999999996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5.0999999999999996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1.9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1.9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D72" si="7">M69+M70+M71</f>
        <v>0</v>
      </c>
      <c r="N72" s="60">
        <f t="shared" si="7"/>
        <v>0</v>
      </c>
      <c r="O72" s="60">
        <f t="shared" si="7"/>
        <v>7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-8</v>
      </c>
      <c r="C73" s="45">
        <v>-1</v>
      </c>
      <c r="D73" s="45">
        <v>-15</v>
      </c>
      <c r="E73" s="45">
        <v>-48.8</v>
      </c>
      <c r="F73" s="45">
        <v>-42.9</v>
      </c>
      <c r="G73" s="45">
        <v>-47</v>
      </c>
      <c r="H73" s="45">
        <v>-57</v>
      </c>
      <c r="I73" s="45">
        <v>-60</v>
      </c>
      <c r="J73" s="45">
        <v>-62.3</v>
      </c>
      <c r="K73" s="45">
        <v>-59.2</v>
      </c>
      <c r="L73" s="45">
        <v>-59.2</v>
      </c>
      <c r="M73" s="45">
        <v>-62.7</v>
      </c>
      <c r="N73" s="45">
        <v>-24.3</v>
      </c>
      <c r="O73" s="45">
        <v>-21.8</v>
      </c>
      <c r="P73" s="45">
        <v>10</v>
      </c>
      <c r="Q73" s="45">
        <v>-10.1</v>
      </c>
      <c r="R73" s="45">
        <v>-11.4</v>
      </c>
      <c r="S73" s="45">
        <v>8.1999999999999993</v>
      </c>
      <c r="T73" s="45">
        <v>6.7</v>
      </c>
      <c r="U73" s="45">
        <v>-17.2</v>
      </c>
      <c r="V73" s="45">
        <v>-0.7</v>
      </c>
      <c r="W73" s="45">
        <v>-10.1</v>
      </c>
      <c r="X73" s="45">
        <v>-9.8000000000000007</v>
      </c>
      <c r="Y73" s="45">
        <v>-20</v>
      </c>
      <c r="Z73" s="45">
        <v>8.3000000000000007</v>
      </c>
      <c r="AA73" s="45">
        <v>39.799999999999997</v>
      </c>
      <c r="AB73" s="45">
        <v>39.1</v>
      </c>
      <c r="AC73" s="45">
        <v>23.4</v>
      </c>
      <c r="AD73" s="45">
        <v>29.2</v>
      </c>
      <c r="AE73" s="45">
        <v>24.8</v>
      </c>
      <c r="AF73" s="45">
        <v>5.5</v>
      </c>
      <c r="AG73" s="51"/>
      <c r="AH73" s="47">
        <f t="shared" si="2"/>
        <v>39.799999999999997</v>
      </c>
      <c r="AI73" s="48">
        <f t="shared" si="3"/>
        <v>-62.7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/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-393</v>
      </c>
      <c r="C75" s="64">
        <v>-430</v>
      </c>
      <c r="D75" s="64">
        <v>-428</v>
      </c>
      <c r="E75" s="64">
        <v>-425</v>
      </c>
      <c r="F75" s="64">
        <v>-473.5</v>
      </c>
      <c r="G75" s="64">
        <v>-478</v>
      </c>
      <c r="H75" s="64">
        <v>-456.2</v>
      </c>
      <c r="I75" s="64">
        <v>-461</v>
      </c>
      <c r="J75" s="64">
        <v>-492.9</v>
      </c>
      <c r="K75" s="64">
        <v>-519.4</v>
      </c>
      <c r="L75" s="64">
        <v>-519.4</v>
      </c>
      <c r="M75" s="64">
        <v>-449.9</v>
      </c>
      <c r="N75" s="64">
        <v>-427.8</v>
      </c>
      <c r="O75" s="64">
        <v>-431</v>
      </c>
      <c r="P75" s="64">
        <v>-370</v>
      </c>
      <c r="Q75" s="64">
        <v>-366.2</v>
      </c>
      <c r="R75" s="64">
        <v>-352.8</v>
      </c>
      <c r="S75" s="64">
        <v>-301</v>
      </c>
      <c r="T75" s="64">
        <v>-333</v>
      </c>
      <c r="U75" s="64">
        <v>-373</v>
      </c>
      <c r="V75" s="64">
        <v>-419</v>
      </c>
      <c r="W75" s="64">
        <v>-447</v>
      </c>
      <c r="X75" s="64">
        <v>-406</v>
      </c>
      <c r="Y75" s="64">
        <v>-365</v>
      </c>
      <c r="Z75" s="64">
        <v>-350</v>
      </c>
      <c r="AA75" s="64">
        <v>-358</v>
      </c>
      <c r="AB75" s="64">
        <v>-371.7</v>
      </c>
      <c r="AC75" s="64">
        <v>-369.9</v>
      </c>
      <c r="AD75" s="64">
        <v>-394.6</v>
      </c>
      <c r="AE75" s="64">
        <v>-401</v>
      </c>
      <c r="AF75" s="64">
        <v>-396</v>
      </c>
      <c r="AG75" s="74"/>
      <c r="AH75" s="47">
        <f t="shared" si="2"/>
        <v>-301</v>
      </c>
      <c r="AI75" s="48">
        <f t="shared" si="3"/>
        <v>-519.4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>
        <v>0</v>
      </c>
      <c r="O76" s="75">
        <v>0</v>
      </c>
      <c r="P76" s="75"/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>
        <v>0</v>
      </c>
      <c r="O77" s="45">
        <v>0</v>
      </c>
      <c r="P77" s="45"/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>
        <v>0</v>
      </c>
      <c r="O78" s="76">
        <v>0</v>
      </c>
      <c r="P78" s="76"/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>
        <v>0</v>
      </c>
      <c r="O79" s="76">
        <v>0</v>
      </c>
      <c r="P79" s="76"/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12</v>
      </c>
      <c r="C80" s="76">
        <v>12</v>
      </c>
      <c r="D80" s="76">
        <v>12</v>
      </c>
      <c r="E80" s="76">
        <v>12</v>
      </c>
      <c r="F80" s="76">
        <v>12</v>
      </c>
      <c r="G80" s="76">
        <v>12</v>
      </c>
      <c r="H80" s="76">
        <v>12</v>
      </c>
      <c r="I80" s="76">
        <v>12</v>
      </c>
      <c r="J80" s="76">
        <v>12</v>
      </c>
      <c r="K80" s="76">
        <v>12</v>
      </c>
      <c r="L80" s="76">
        <v>12</v>
      </c>
      <c r="M80" s="76">
        <v>12</v>
      </c>
      <c r="N80" s="76">
        <v>10</v>
      </c>
      <c r="O80" s="76">
        <v>10</v>
      </c>
      <c r="P80" s="76">
        <v>10</v>
      </c>
      <c r="Q80" s="76">
        <v>14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14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>
        <v>0</v>
      </c>
      <c r="O81" s="76">
        <v>0</v>
      </c>
      <c r="P81" s="76"/>
      <c r="Q81" s="76">
        <v>0</v>
      </c>
      <c r="R81" s="76">
        <v>0</v>
      </c>
      <c r="S81" s="76"/>
      <c r="T81" s="76"/>
      <c r="U81" s="76">
        <v>5</v>
      </c>
      <c r="V81" s="76">
        <v>5</v>
      </c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5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>
        <v>0</v>
      </c>
      <c r="O82" s="76">
        <v>0</v>
      </c>
      <c r="P82" s="76"/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>
        <v>0</v>
      </c>
      <c r="O83" s="76">
        <v>0</v>
      </c>
      <c r="P83" s="76"/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12</v>
      </c>
      <c r="C84" s="60">
        <f t="shared" ref="C84:AD84" si="10">SUMIF(C73:C83,"&gt;0")</f>
        <v>12</v>
      </c>
      <c r="D84" s="60">
        <f t="shared" si="10"/>
        <v>12</v>
      </c>
      <c r="E84" s="60">
        <f t="shared" si="10"/>
        <v>12</v>
      </c>
      <c r="F84" s="60">
        <f t="shared" si="10"/>
        <v>12</v>
      </c>
      <c r="G84" s="60">
        <f t="shared" si="10"/>
        <v>12</v>
      </c>
      <c r="H84" s="60">
        <f t="shared" si="10"/>
        <v>12</v>
      </c>
      <c r="I84" s="60">
        <f t="shared" si="10"/>
        <v>12</v>
      </c>
      <c r="J84" s="60">
        <f t="shared" si="10"/>
        <v>12</v>
      </c>
      <c r="K84" s="60">
        <f>SUMIF(K73:K83,"&gt;0")</f>
        <v>12</v>
      </c>
      <c r="L84" s="60">
        <f t="shared" si="10"/>
        <v>12</v>
      </c>
      <c r="M84" s="60">
        <f t="shared" si="10"/>
        <v>12</v>
      </c>
      <c r="N84" s="60">
        <f t="shared" si="10"/>
        <v>10</v>
      </c>
      <c r="O84" s="60">
        <f t="shared" si="10"/>
        <v>10</v>
      </c>
      <c r="P84" s="60">
        <f t="shared" si="10"/>
        <v>20</v>
      </c>
      <c r="Q84" s="60">
        <f t="shared" si="10"/>
        <v>14</v>
      </c>
      <c r="R84" s="60">
        <f t="shared" si="10"/>
        <v>0</v>
      </c>
      <c r="S84" s="60">
        <f t="shared" si="10"/>
        <v>8.1999999999999993</v>
      </c>
      <c r="T84" s="60">
        <f t="shared" si="10"/>
        <v>6.7</v>
      </c>
      <c r="U84" s="60">
        <f t="shared" si="10"/>
        <v>5</v>
      </c>
      <c r="V84" s="60">
        <f t="shared" si="10"/>
        <v>5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8.3000000000000007</v>
      </c>
      <c r="AA84" s="60">
        <f t="shared" si="10"/>
        <v>39.799999999999997</v>
      </c>
      <c r="AB84" s="60">
        <f t="shared" si="10"/>
        <v>39.1</v>
      </c>
      <c r="AC84" s="60">
        <f t="shared" si="10"/>
        <v>23.4</v>
      </c>
      <c r="AD84" s="60">
        <f t="shared" si="10"/>
        <v>29.2</v>
      </c>
      <c r="AE84" s="60">
        <f>SUMIF(AE73:AE83,"&gt;0")</f>
        <v>24.8</v>
      </c>
      <c r="AF84" s="60">
        <f>SUMIF(AF73:AF83,"&gt;0")</f>
        <v>5.5</v>
      </c>
      <c r="AG84" s="87">
        <f>SUM(AG73:AG83)</f>
        <v>0</v>
      </c>
      <c r="AH84" s="47">
        <f t="shared" si="8"/>
        <v>39.799999999999997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1916.5900000000001</v>
      </c>
      <c r="C89" s="94">
        <f t="shared" ref="C89:AG89" si="11">C50+C54+C72+C68+C84+C88</f>
        <v>1834.69</v>
      </c>
      <c r="D89" s="94">
        <f t="shared" si="11"/>
        <v>1834.69</v>
      </c>
      <c r="E89" s="94">
        <f t="shared" si="11"/>
        <v>1834.69</v>
      </c>
      <c r="F89" s="94">
        <f t="shared" si="11"/>
        <v>1834.69</v>
      </c>
      <c r="G89" s="94">
        <f t="shared" si="11"/>
        <v>1834.69</v>
      </c>
      <c r="H89" s="94">
        <f t="shared" si="11"/>
        <v>1834.69</v>
      </c>
      <c r="I89" s="94">
        <f t="shared" si="11"/>
        <v>1834.69</v>
      </c>
      <c r="J89" s="94">
        <f t="shared" si="11"/>
        <v>1834.69</v>
      </c>
      <c r="K89" s="94">
        <f>K50+K54+K72+K68+K84+K88</f>
        <v>1938.59</v>
      </c>
      <c r="L89" s="94">
        <f t="shared" si="11"/>
        <v>1927.79</v>
      </c>
      <c r="M89" s="94">
        <f t="shared" si="11"/>
        <v>1940.24</v>
      </c>
      <c r="N89" s="94">
        <f t="shared" si="11"/>
        <v>1958.44</v>
      </c>
      <c r="O89" s="94">
        <f t="shared" si="11"/>
        <v>1975.54</v>
      </c>
      <c r="P89" s="94">
        <f t="shared" si="11"/>
        <v>1953.64</v>
      </c>
      <c r="Q89" s="94">
        <f t="shared" si="11"/>
        <v>1957.64</v>
      </c>
      <c r="R89" s="94">
        <f t="shared" si="11"/>
        <v>1942.64</v>
      </c>
      <c r="S89" s="94">
        <f t="shared" si="11"/>
        <v>1948.64</v>
      </c>
      <c r="T89" s="94">
        <f t="shared" si="11"/>
        <v>1932.54</v>
      </c>
      <c r="U89" s="94">
        <f t="shared" si="11"/>
        <v>1922.24</v>
      </c>
      <c r="V89" s="94">
        <f t="shared" si="11"/>
        <v>1939.24</v>
      </c>
      <c r="W89" s="94">
        <f t="shared" si="11"/>
        <v>1927.6399999999999</v>
      </c>
      <c r="X89" s="94">
        <f t="shared" si="11"/>
        <v>1934.14</v>
      </c>
      <c r="Y89" s="94">
        <f t="shared" si="11"/>
        <v>1959.54</v>
      </c>
      <c r="Z89" s="94">
        <f t="shared" si="11"/>
        <v>1967.84</v>
      </c>
      <c r="AA89" s="94">
        <f>AA50+AA54+AA72+AA68+AA84+AA88</f>
        <v>2072.6400000000003</v>
      </c>
      <c r="AB89" s="94">
        <f t="shared" si="11"/>
        <v>2072.7399999999998</v>
      </c>
      <c r="AC89" s="94">
        <f t="shared" si="11"/>
        <v>2057.04</v>
      </c>
      <c r="AD89" s="94">
        <f t="shared" si="11"/>
        <v>2011.44</v>
      </c>
      <c r="AE89" s="94">
        <f>AE50+AE54+AE72+AE68+AE84+AE88</f>
        <v>1983.14</v>
      </c>
      <c r="AF89" s="94">
        <f>AF50+AF54+AF72+AF68+AF84+AF88</f>
        <v>1953.14</v>
      </c>
      <c r="AG89" s="61">
        <f t="shared" si="11"/>
        <v>2111.5500000000002</v>
      </c>
      <c r="AH89" s="47">
        <f t="shared" si="8"/>
        <v>2072.7399999999998</v>
      </c>
      <c r="AI89" s="48">
        <f t="shared" si="9"/>
        <v>1834.69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1916.5900000000001</v>
      </c>
      <c r="C91" s="94">
        <f t="shared" ref="C91:AD91" si="12">C89+C90</f>
        <v>1834.69</v>
      </c>
      <c r="D91" s="94">
        <f t="shared" si="12"/>
        <v>1834.69</v>
      </c>
      <c r="E91" s="94">
        <f t="shared" si="12"/>
        <v>1834.69</v>
      </c>
      <c r="F91" s="94">
        <f t="shared" si="12"/>
        <v>1834.69</v>
      </c>
      <c r="G91" s="94">
        <f t="shared" si="12"/>
        <v>1834.69</v>
      </c>
      <c r="H91" s="94">
        <f t="shared" si="12"/>
        <v>1834.69</v>
      </c>
      <c r="I91" s="94">
        <f t="shared" si="12"/>
        <v>1834.69</v>
      </c>
      <c r="J91" s="94">
        <f t="shared" si="12"/>
        <v>1834.69</v>
      </c>
      <c r="K91" s="94">
        <f>K89+K90</f>
        <v>1938.59</v>
      </c>
      <c r="L91" s="94">
        <f t="shared" si="12"/>
        <v>1927.79</v>
      </c>
      <c r="M91" s="94">
        <f t="shared" si="12"/>
        <v>1940.24</v>
      </c>
      <c r="N91" s="94">
        <f t="shared" si="12"/>
        <v>1958.44</v>
      </c>
      <c r="O91" s="94">
        <f t="shared" si="12"/>
        <v>1975.54</v>
      </c>
      <c r="P91" s="94">
        <f t="shared" si="12"/>
        <v>1953.64</v>
      </c>
      <c r="Q91" s="94">
        <f t="shared" si="12"/>
        <v>1957.64</v>
      </c>
      <c r="R91" s="94">
        <f t="shared" si="12"/>
        <v>1942.64</v>
      </c>
      <c r="S91" s="94">
        <f t="shared" si="12"/>
        <v>1948.64</v>
      </c>
      <c r="T91" s="94">
        <f t="shared" si="12"/>
        <v>1932.54</v>
      </c>
      <c r="U91" s="94">
        <f t="shared" si="12"/>
        <v>1922.24</v>
      </c>
      <c r="V91" s="94">
        <f t="shared" si="12"/>
        <v>1939.24</v>
      </c>
      <c r="W91" s="94">
        <f t="shared" si="12"/>
        <v>1927.6399999999999</v>
      </c>
      <c r="X91" s="94">
        <f t="shared" si="12"/>
        <v>1934.14</v>
      </c>
      <c r="Y91" s="94">
        <f t="shared" si="12"/>
        <v>1959.54</v>
      </c>
      <c r="Z91" s="94">
        <f t="shared" si="12"/>
        <v>1967.84</v>
      </c>
      <c r="AA91" s="94">
        <f t="shared" si="12"/>
        <v>2072.6400000000003</v>
      </c>
      <c r="AB91" s="94">
        <f t="shared" si="12"/>
        <v>2072.7399999999998</v>
      </c>
      <c r="AC91" s="94">
        <f t="shared" si="12"/>
        <v>2057.04</v>
      </c>
      <c r="AD91" s="94">
        <f t="shared" si="12"/>
        <v>2011.44</v>
      </c>
      <c r="AE91" s="94">
        <f>AE89+AE90</f>
        <v>1983.14</v>
      </c>
      <c r="AF91" s="94">
        <f>AF89+AF90</f>
        <v>1953.14</v>
      </c>
      <c r="AG91" s="87">
        <f>AG88+AG84+AG72+AG68+AG50+AG90</f>
        <v>1573.45</v>
      </c>
      <c r="AH91" s="47">
        <f t="shared" si="8"/>
        <v>2072.7399999999998</v>
      </c>
      <c r="AI91" s="48">
        <f t="shared" si="9"/>
        <v>1834.69</v>
      </c>
    </row>
    <row r="92" spans="1:40" ht="15.75" thickBot="1" x14ac:dyDescent="0.3">
      <c r="A92" s="73" t="s">
        <v>103</v>
      </c>
      <c r="B92" s="94">
        <f>B91-(-B99)</f>
        <v>1553.5900000000001</v>
      </c>
      <c r="C92" s="94">
        <f>C91-(-C99)</f>
        <v>1404.69</v>
      </c>
      <c r="D92" s="94">
        <f t="shared" ref="D92:K92" si="13">D91-(-D99)</f>
        <v>1406.69</v>
      </c>
      <c r="E92" s="94">
        <f t="shared" si="13"/>
        <v>1409.69</v>
      </c>
      <c r="F92" s="94">
        <f t="shared" si="13"/>
        <v>1361.19</v>
      </c>
      <c r="G92" s="94">
        <f t="shared" si="13"/>
        <v>1356.69</v>
      </c>
      <c r="H92" s="94">
        <f t="shared" si="13"/>
        <v>1378.49</v>
      </c>
      <c r="I92" s="94">
        <f t="shared" si="13"/>
        <v>1373.69</v>
      </c>
      <c r="J92" s="94">
        <f t="shared" si="13"/>
        <v>1341.79</v>
      </c>
      <c r="K92" s="94">
        <f t="shared" si="13"/>
        <v>1419.19</v>
      </c>
      <c r="L92" s="94">
        <f t="shared" ref="L92:AB92" si="14">L91-(-L99)</f>
        <v>1408.3899999999999</v>
      </c>
      <c r="M92" s="94">
        <f t="shared" si="14"/>
        <v>1490.3400000000001</v>
      </c>
      <c r="N92" s="94">
        <f t="shared" si="14"/>
        <v>1530.64</v>
      </c>
      <c r="O92" s="94">
        <f t="shared" si="14"/>
        <v>1544.54</v>
      </c>
      <c r="P92" s="94">
        <f t="shared" si="14"/>
        <v>1583.64</v>
      </c>
      <c r="Q92" s="94">
        <f t="shared" si="14"/>
        <v>1591.44</v>
      </c>
      <c r="R92" s="94">
        <f t="shared" si="14"/>
        <v>1589.8400000000001</v>
      </c>
      <c r="S92" s="94">
        <f t="shared" si="14"/>
        <v>1647.64</v>
      </c>
      <c r="T92" s="94">
        <f t="shared" si="14"/>
        <v>1599.54</v>
      </c>
      <c r="U92" s="94">
        <f t="shared" si="14"/>
        <v>1549.24</v>
      </c>
      <c r="V92" s="94">
        <f t="shared" si="14"/>
        <v>1520.24</v>
      </c>
      <c r="W92" s="94">
        <f t="shared" si="14"/>
        <v>1480.6399999999999</v>
      </c>
      <c r="X92" s="94">
        <f t="shared" si="14"/>
        <v>1528.14</v>
      </c>
      <c r="Y92" s="94">
        <f t="shared" si="14"/>
        <v>1594.54</v>
      </c>
      <c r="Z92" s="94">
        <f t="shared" si="14"/>
        <v>1617.84</v>
      </c>
      <c r="AA92" s="94">
        <f t="shared" si="14"/>
        <v>1714.6400000000003</v>
      </c>
      <c r="AB92" s="94">
        <f t="shared" si="14"/>
        <v>1701.0399999999997</v>
      </c>
      <c r="AC92" s="94">
        <f>AC91-AC99</f>
        <v>2426.94</v>
      </c>
      <c r="AD92" s="94">
        <f>AD91-AD99</f>
        <v>2406.04</v>
      </c>
      <c r="AE92" s="94">
        <f>AE91-AE99</f>
        <v>2384.1400000000003</v>
      </c>
      <c r="AF92" s="94">
        <f>AF91-AF99</f>
        <v>2349.1400000000003</v>
      </c>
      <c r="AG92" s="87"/>
      <c r="AH92" s="47">
        <f t="shared" si="8"/>
        <v>2426.94</v>
      </c>
      <c r="AI92" s="48">
        <f t="shared" si="9"/>
        <v>1341.79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v>-363</v>
      </c>
      <c r="C99" s="60">
        <f t="shared" ref="C99:AD99" si="15">C75</f>
        <v>-430</v>
      </c>
      <c r="D99" s="60">
        <f t="shared" si="15"/>
        <v>-428</v>
      </c>
      <c r="E99" s="60">
        <f t="shared" si="15"/>
        <v>-425</v>
      </c>
      <c r="F99" s="60">
        <f t="shared" si="15"/>
        <v>-473.5</v>
      </c>
      <c r="G99" s="60">
        <f t="shared" si="15"/>
        <v>-478</v>
      </c>
      <c r="H99" s="60">
        <f t="shared" si="15"/>
        <v>-456.2</v>
      </c>
      <c r="I99" s="60">
        <f t="shared" si="15"/>
        <v>-461</v>
      </c>
      <c r="J99" s="60">
        <f t="shared" si="15"/>
        <v>-492.9</v>
      </c>
      <c r="K99" s="60">
        <f>K75</f>
        <v>-519.4</v>
      </c>
      <c r="L99" s="60">
        <f t="shared" si="15"/>
        <v>-519.4</v>
      </c>
      <c r="M99" s="60">
        <f t="shared" si="15"/>
        <v>-449.9</v>
      </c>
      <c r="N99" s="60">
        <f t="shared" si="15"/>
        <v>-427.8</v>
      </c>
      <c r="O99" s="60">
        <f t="shared" si="15"/>
        <v>-431</v>
      </c>
      <c r="P99" s="60">
        <f t="shared" si="15"/>
        <v>-370</v>
      </c>
      <c r="Q99" s="60">
        <f t="shared" si="15"/>
        <v>-366.2</v>
      </c>
      <c r="R99" s="60">
        <f t="shared" si="15"/>
        <v>-352.8</v>
      </c>
      <c r="S99" s="60">
        <f t="shared" si="15"/>
        <v>-301</v>
      </c>
      <c r="T99" s="60">
        <f t="shared" si="15"/>
        <v>-333</v>
      </c>
      <c r="U99" s="60">
        <f t="shared" si="15"/>
        <v>-373</v>
      </c>
      <c r="V99" s="60">
        <f t="shared" si="15"/>
        <v>-419</v>
      </c>
      <c r="W99" s="60">
        <f t="shared" si="15"/>
        <v>-447</v>
      </c>
      <c r="X99" s="60">
        <f t="shared" si="15"/>
        <v>-406</v>
      </c>
      <c r="Y99" s="60">
        <f t="shared" si="15"/>
        <v>-365</v>
      </c>
      <c r="Z99" s="60">
        <f t="shared" si="15"/>
        <v>-350</v>
      </c>
      <c r="AA99" s="60">
        <f t="shared" si="15"/>
        <v>-358</v>
      </c>
      <c r="AB99" s="60">
        <f t="shared" si="15"/>
        <v>-371.7</v>
      </c>
      <c r="AC99" s="60">
        <f t="shared" si="15"/>
        <v>-369.9</v>
      </c>
      <c r="AD99" s="60">
        <f t="shared" si="15"/>
        <v>-394.6</v>
      </c>
      <c r="AE99" s="60">
        <f>AE75</f>
        <v>-401</v>
      </c>
      <c r="AF99" s="60">
        <f>AF75</f>
        <v>-396</v>
      </c>
      <c r="AG99" s="87"/>
      <c r="AH99" s="47">
        <f t="shared" si="8"/>
        <v>-301</v>
      </c>
      <c r="AI99" s="48">
        <f t="shared" si="9"/>
        <v>-519.4</v>
      </c>
      <c r="AK99" s="50"/>
    </row>
    <row r="100" spans="1:37" ht="15.75" thickBot="1" x14ac:dyDescent="0.3">
      <c r="A100" s="73" t="s">
        <v>108</v>
      </c>
      <c r="B100" s="60">
        <f>B84+B99</f>
        <v>-351</v>
      </c>
      <c r="C100" s="60">
        <f>C84+C99</f>
        <v>-418</v>
      </c>
      <c r="D100" s="60">
        <f t="shared" ref="D100:AB100" si="16">D84+D99</f>
        <v>-416</v>
      </c>
      <c r="E100" s="60">
        <f t="shared" si="16"/>
        <v>-413</v>
      </c>
      <c r="F100" s="60">
        <f t="shared" si="16"/>
        <v>-461.5</v>
      </c>
      <c r="G100" s="60">
        <f t="shared" si="16"/>
        <v>-466</v>
      </c>
      <c r="H100" s="60">
        <f t="shared" si="16"/>
        <v>-444.2</v>
      </c>
      <c r="I100" s="60">
        <f t="shared" si="16"/>
        <v>-449</v>
      </c>
      <c r="J100" s="60">
        <f t="shared" si="16"/>
        <v>-480.9</v>
      </c>
      <c r="K100" s="60">
        <f t="shared" si="16"/>
        <v>-507.4</v>
      </c>
      <c r="L100" s="60">
        <f t="shared" si="16"/>
        <v>-507.4</v>
      </c>
      <c r="M100" s="60">
        <f t="shared" si="16"/>
        <v>-437.9</v>
      </c>
      <c r="N100" s="60">
        <f t="shared" si="16"/>
        <v>-417.8</v>
      </c>
      <c r="O100" s="60">
        <f t="shared" si="16"/>
        <v>-421</v>
      </c>
      <c r="P100" s="60">
        <f t="shared" si="16"/>
        <v>-350</v>
      </c>
      <c r="Q100" s="60">
        <f t="shared" si="16"/>
        <v>-352.2</v>
      </c>
      <c r="R100" s="60">
        <f t="shared" si="16"/>
        <v>-352.8</v>
      </c>
      <c r="S100" s="60">
        <f t="shared" si="16"/>
        <v>-292.8</v>
      </c>
      <c r="T100" s="60">
        <f t="shared" si="16"/>
        <v>-326.3</v>
      </c>
      <c r="U100" s="60">
        <f t="shared" si="16"/>
        <v>-368</v>
      </c>
      <c r="V100" s="60">
        <f t="shared" si="16"/>
        <v>-414</v>
      </c>
      <c r="W100" s="60">
        <f t="shared" si="16"/>
        <v>-447</v>
      </c>
      <c r="X100" s="60">
        <f t="shared" si="16"/>
        <v>-406</v>
      </c>
      <c r="Y100" s="60">
        <f t="shared" si="16"/>
        <v>-365</v>
      </c>
      <c r="Z100" s="60">
        <f t="shared" si="16"/>
        <v>-341.7</v>
      </c>
      <c r="AA100" s="60">
        <f t="shared" si="16"/>
        <v>-318.2</v>
      </c>
      <c r="AB100" s="60">
        <f t="shared" si="16"/>
        <v>-332.59999999999997</v>
      </c>
      <c r="AC100" s="60">
        <f>AC84-AC99</f>
        <v>393.29999999999995</v>
      </c>
      <c r="AD100" s="60">
        <f>AD84-AD99</f>
        <v>423.8</v>
      </c>
      <c r="AE100" s="60">
        <f>AE84-AE99</f>
        <v>425.8</v>
      </c>
      <c r="AF100" s="60">
        <f>AF84-AF99</f>
        <v>401.5</v>
      </c>
      <c r="AG100" s="87"/>
      <c r="AH100" s="47">
        <f t="shared" si="8"/>
        <v>425.8</v>
      </c>
      <c r="AI100" s="48">
        <f t="shared" si="9"/>
        <v>-507.4</v>
      </c>
    </row>
    <row r="101" spans="1:37" x14ac:dyDescent="0.25">
      <c r="A101" s="99" t="s">
        <v>109</v>
      </c>
      <c r="B101" s="100">
        <v>50.04</v>
      </c>
      <c r="C101" s="100">
        <v>49.98</v>
      </c>
      <c r="D101" s="100">
        <v>49.98</v>
      </c>
      <c r="E101" s="100">
        <v>49.98</v>
      </c>
      <c r="F101" s="100">
        <v>49.98</v>
      </c>
      <c r="G101" s="100">
        <v>49.98</v>
      </c>
      <c r="H101" s="100">
        <v>49.98</v>
      </c>
      <c r="I101" s="100">
        <v>49.98</v>
      </c>
      <c r="J101" s="100">
        <v>49.98</v>
      </c>
      <c r="K101" s="100">
        <v>50.03</v>
      </c>
      <c r="L101" s="100">
        <v>50.03</v>
      </c>
      <c r="M101" s="100">
        <v>50.029000000000003</v>
      </c>
      <c r="N101" s="100">
        <v>50.173000000000002</v>
      </c>
      <c r="O101" s="100">
        <v>50.08</v>
      </c>
      <c r="P101" s="100">
        <v>49.893999999999998</v>
      </c>
      <c r="Q101" s="100">
        <v>49.981000000000002</v>
      </c>
      <c r="R101" s="100">
        <v>50.046999999999997</v>
      </c>
      <c r="S101" s="100">
        <v>49.970999999999997</v>
      </c>
      <c r="T101" s="100">
        <v>50</v>
      </c>
      <c r="U101" s="100">
        <v>50</v>
      </c>
      <c r="V101" s="100">
        <v>50.003999999999998</v>
      </c>
      <c r="W101" s="100">
        <v>50.029000000000003</v>
      </c>
      <c r="X101" s="100">
        <v>50.156999999999996</v>
      </c>
      <c r="Y101" s="100">
        <v>50.156999999999996</v>
      </c>
      <c r="Z101" s="100">
        <v>50.002000000000002</v>
      </c>
      <c r="AA101" s="100">
        <v>50.026000000000003</v>
      </c>
      <c r="AB101" s="100">
        <v>50.06</v>
      </c>
      <c r="AC101" s="100">
        <v>50.091000000000001</v>
      </c>
      <c r="AD101" s="100">
        <v>50.018000000000001</v>
      </c>
      <c r="AE101" s="100">
        <v>50.01</v>
      </c>
      <c r="AF101" s="100">
        <v>50</v>
      </c>
      <c r="AG101" s="101"/>
      <c r="AH101" s="47">
        <f t="shared" si="8"/>
        <v>50.173000000000002</v>
      </c>
      <c r="AI101" s="48">
        <f t="shared" si="9"/>
        <v>49.893999999999998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130.5</v>
      </c>
      <c r="C103" s="64">
        <v>131</v>
      </c>
      <c r="D103" s="64">
        <v>131</v>
      </c>
      <c r="E103" s="64">
        <v>131</v>
      </c>
      <c r="F103" s="64">
        <v>131</v>
      </c>
      <c r="G103" s="64">
        <v>131</v>
      </c>
      <c r="H103" s="64">
        <v>131</v>
      </c>
      <c r="I103" s="64">
        <v>131</v>
      </c>
      <c r="J103" s="64">
        <v>131</v>
      </c>
      <c r="K103" s="64">
        <v>128.80000000000001</v>
      </c>
      <c r="L103" s="64">
        <v>128.80000000000001</v>
      </c>
      <c r="M103" s="64">
        <v>127.5</v>
      </c>
      <c r="N103" s="64">
        <v>126.5</v>
      </c>
      <c r="O103" s="64">
        <v>126.4</v>
      </c>
      <c r="P103" s="64">
        <v>125</v>
      </c>
      <c r="Q103" s="64">
        <v>127.8</v>
      </c>
      <c r="R103" s="64">
        <v>127</v>
      </c>
      <c r="S103" s="64">
        <v>124.4</v>
      </c>
      <c r="T103" s="64">
        <v>125.3</v>
      </c>
      <c r="U103" s="64">
        <v>125.3</v>
      </c>
      <c r="V103" s="64">
        <v>125.6</v>
      </c>
      <c r="W103" s="64">
        <v>127.1</v>
      </c>
      <c r="X103" s="64">
        <v>127.3</v>
      </c>
      <c r="Y103" s="64">
        <v>127.3</v>
      </c>
      <c r="Z103" s="64">
        <v>123.9</v>
      </c>
      <c r="AA103" s="64">
        <v>125.2</v>
      </c>
      <c r="AB103" s="64">
        <v>128.69999999999999</v>
      </c>
      <c r="AC103" s="64">
        <v>128.1</v>
      </c>
      <c r="AD103" s="64">
        <v>127.6</v>
      </c>
      <c r="AE103" s="64">
        <v>128.19999999999999</v>
      </c>
      <c r="AF103" s="64">
        <v>130.4</v>
      </c>
      <c r="AG103" s="103"/>
      <c r="AH103" s="47">
        <f>MAX(B103:AF103)</f>
        <v>131</v>
      </c>
      <c r="AI103" s="48">
        <f>MIN(B103:AF103)</f>
        <v>123.9</v>
      </c>
    </row>
    <row r="104" spans="1:37" x14ac:dyDescent="0.25">
      <c r="A104" s="102" t="s">
        <v>112</v>
      </c>
      <c r="B104" s="64">
        <v>129.5</v>
      </c>
      <c r="C104" s="64">
        <v>129</v>
      </c>
      <c r="D104" s="64">
        <v>129</v>
      </c>
      <c r="E104" s="64">
        <v>129</v>
      </c>
      <c r="F104" s="64">
        <v>129</v>
      </c>
      <c r="G104" s="64">
        <v>129</v>
      </c>
      <c r="H104" s="64">
        <v>129</v>
      </c>
      <c r="I104" s="64">
        <v>129</v>
      </c>
      <c r="J104" s="64">
        <v>129</v>
      </c>
      <c r="K104" s="64">
        <v>128.69999999999999</v>
      </c>
      <c r="L104" s="64">
        <v>128.69999999999999</v>
      </c>
      <c r="M104" s="64">
        <v>130</v>
      </c>
      <c r="N104" s="64">
        <v>127.8</v>
      </c>
      <c r="O104" s="64">
        <v>128.80000000000001</v>
      </c>
      <c r="P104" s="64">
        <v>131</v>
      </c>
      <c r="Q104" s="64">
        <v>126.8</v>
      </c>
      <c r="R104" s="64">
        <v>127.3</v>
      </c>
      <c r="S104" s="64">
        <v>127</v>
      </c>
      <c r="T104" s="64">
        <v>127.7</v>
      </c>
      <c r="U104" s="64">
        <v>127.7</v>
      </c>
      <c r="V104" s="64">
        <v>131.1</v>
      </c>
      <c r="W104" s="64">
        <v>131.4</v>
      </c>
      <c r="X104" s="64">
        <v>129.5</v>
      </c>
      <c r="Y104" s="64">
        <v>129.5</v>
      </c>
      <c r="Z104" s="64">
        <v>124.7</v>
      </c>
      <c r="AA104" s="64">
        <v>129.5</v>
      </c>
      <c r="AB104" s="64">
        <v>128.9</v>
      </c>
      <c r="AC104" s="64">
        <v>129.30000000000001</v>
      </c>
      <c r="AD104" s="64">
        <v>128.30000000000001</v>
      </c>
      <c r="AE104" s="64">
        <v>127.9</v>
      </c>
      <c r="AF104" s="64">
        <v>130.80000000000001</v>
      </c>
      <c r="AG104" s="103"/>
      <c r="AH104" s="47">
        <f t="shared" si="8"/>
        <v>131.4</v>
      </c>
      <c r="AI104" s="48">
        <f t="shared" si="9"/>
        <v>124.7</v>
      </c>
    </row>
    <row r="105" spans="1:37" x14ac:dyDescent="0.25">
      <c r="A105" s="104" t="s">
        <v>113</v>
      </c>
      <c r="B105" s="64">
        <v>133</v>
      </c>
      <c r="C105" s="64">
        <v>133</v>
      </c>
      <c r="D105" s="64">
        <v>133</v>
      </c>
      <c r="E105" s="64">
        <v>133</v>
      </c>
      <c r="F105" s="64">
        <v>133</v>
      </c>
      <c r="G105" s="64">
        <v>133</v>
      </c>
      <c r="H105" s="64">
        <v>133</v>
      </c>
      <c r="I105" s="64">
        <v>133</v>
      </c>
      <c r="J105" s="64">
        <v>133</v>
      </c>
      <c r="K105" s="64">
        <v>129.80000000000001</v>
      </c>
      <c r="L105" s="64">
        <v>129.80000000000001</v>
      </c>
      <c r="M105" s="64">
        <v>132.69999999999999</v>
      </c>
      <c r="N105" s="64">
        <v>130.80000000000001</v>
      </c>
      <c r="O105" s="64">
        <v>129.5</v>
      </c>
      <c r="P105" s="64"/>
      <c r="Q105" s="64">
        <v>129.30000000000001</v>
      </c>
      <c r="R105" s="64">
        <v>130.30000000000001</v>
      </c>
      <c r="S105" s="64">
        <v>128.97999999999999</v>
      </c>
      <c r="T105" s="64">
        <v>130.69999999999999</v>
      </c>
      <c r="U105" s="64">
        <v>130.69999999999999</v>
      </c>
      <c r="V105" s="64">
        <v>134</v>
      </c>
      <c r="W105" s="64">
        <v>134</v>
      </c>
      <c r="X105" s="64">
        <v>133</v>
      </c>
      <c r="Y105" s="64">
        <v>133</v>
      </c>
      <c r="Z105" s="64">
        <v>128.30000000000001</v>
      </c>
      <c r="AA105" s="64">
        <v>132.80000000000001</v>
      </c>
      <c r="AB105" s="64">
        <v>133</v>
      </c>
      <c r="AC105" s="64">
        <v>133.5</v>
      </c>
      <c r="AD105" s="64">
        <v>132.5</v>
      </c>
      <c r="AE105" s="64">
        <v>133.1</v>
      </c>
      <c r="AF105" s="64">
        <v>136.4</v>
      </c>
      <c r="AG105" s="103"/>
      <c r="AH105" s="47">
        <f t="shared" si="8"/>
        <v>136.4</v>
      </c>
      <c r="AI105" s="48">
        <f t="shared" si="9"/>
        <v>128.30000000000001</v>
      </c>
    </row>
    <row r="106" spans="1:37" x14ac:dyDescent="0.25">
      <c r="A106" s="104" t="s">
        <v>114</v>
      </c>
      <c r="B106" s="105">
        <v>130.80000000000001</v>
      </c>
      <c r="C106" s="105">
        <v>132</v>
      </c>
      <c r="D106" s="105">
        <v>132</v>
      </c>
      <c r="E106" s="105">
        <v>132</v>
      </c>
      <c r="F106" s="105">
        <v>132</v>
      </c>
      <c r="G106" s="105">
        <v>132</v>
      </c>
      <c r="H106" s="105">
        <v>132</v>
      </c>
      <c r="I106" s="105">
        <v>132</v>
      </c>
      <c r="J106" s="105">
        <v>132</v>
      </c>
      <c r="K106" s="105">
        <v>132.80000000000001</v>
      </c>
      <c r="L106" s="105">
        <v>132.80000000000001</v>
      </c>
      <c r="M106" s="105">
        <v>134</v>
      </c>
      <c r="N106" s="105">
        <v>132.6</v>
      </c>
      <c r="O106" s="105">
        <v>132.4</v>
      </c>
      <c r="P106" s="105">
        <v>132.9</v>
      </c>
      <c r="Q106" s="105">
        <v>132.6</v>
      </c>
      <c r="R106" s="105">
        <v>132.6</v>
      </c>
      <c r="S106" s="105">
        <v>134.1</v>
      </c>
      <c r="T106" s="105">
        <v>133.80000000000001</v>
      </c>
      <c r="U106" s="105">
        <v>133.80000000000001</v>
      </c>
      <c r="V106" s="105">
        <v>129.6</v>
      </c>
      <c r="W106" s="105">
        <v>133.69999999999999</v>
      </c>
      <c r="X106" s="105">
        <v>131.9</v>
      </c>
      <c r="Y106" s="105">
        <v>131.9</v>
      </c>
      <c r="Z106" s="105">
        <v>133</v>
      </c>
      <c r="AA106" s="105">
        <v>132</v>
      </c>
      <c r="AB106" s="105">
        <v>134.80000000000001</v>
      </c>
      <c r="AC106" s="105">
        <v>134.1</v>
      </c>
      <c r="AD106" s="105">
        <v>131.69999999999999</v>
      </c>
      <c r="AE106" s="105">
        <v>134.5</v>
      </c>
      <c r="AF106" s="105" t="s">
        <v>279</v>
      </c>
      <c r="AG106" s="106"/>
      <c r="AH106" s="47">
        <f t="shared" si="8"/>
        <v>134.80000000000001</v>
      </c>
      <c r="AI106" s="48">
        <f t="shared" si="9"/>
        <v>129.6</v>
      </c>
    </row>
    <row r="107" spans="1:37" x14ac:dyDescent="0.25">
      <c r="A107" s="102" t="s">
        <v>115</v>
      </c>
      <c r="B107" s="64">
        <v>132</v>
      </c>
      <c r="C107" s="64">
        <v>129</v>
      </c>
      <c r="D107" s="64">
        <v>129</v>
      </c>
      <c r="E107" s="64">
        <v>129</v>
      </c>
      <c r="F107" s="64">
        <v>129</v>
      </c>
      <c r="G107" s="64">
        <v>129</v>
      </c>
      <c r="H107" s="64">
        <v>129</v>
      </c>
      <c r="I107" s="64">
        <v>129</v>
      </c>
      <c r="J107" s="64">
        <v>129</v>
      </c>
      <c r="K107" s="64">
        <v>133.1</v>
      </c>
      <c r="L107" s="64">
        <v>133.1</v>
      </c>
      <c r="M107" s="64">
        <v>135</v>
      </c>
      <c r="N107" s="64">
        <v>128.1</v>
      </c>
      <c r="O107" s="64">
        <v>131.19999999999999</v>
      </c>
      <c r="P107" s="64"/>
      <c r="Q107" s="64">
        <v>124.1</v>
      </c>
      <c r="R107" s="64">
        <v>130.1</v>
      </c>
      <c r="S107" s="64">
        <v>128.80000000000001</v>
      </c>
      <c r="T107" s="64">
        <v>128.19999999999999</v>
      </c>
      <c r="U107" s="64">
        <v>128.19999999999999</v>
      </c>
      <c r="V107" s="64">
        <v>127.1</v>
      </c>
      <c r="W107" s="64">
        <v>132.69999999999999</v>
      </c>
      <c r="X107" s="64">
        <v>132.4</v>
      </c>
      <c r="Y107" s="64">
        <v>132.4</v>
      </c>
      <c r="Z107" s="64">
        <v>133.69999999999999</v>
      </c>
      <c r="AA107" s="64">
        <v>130.4</v>
      </c>
      <c r="AB107" s="64">
        <v>125.1</v>
      </c>
      <c r="AC107" s="64">
        <v>124.1</v>
      </c>
      <c r="AD107" s="64">
        <v>130.1</v>
      </c>
      <c r="AE107" s="64">
        <v>137.30000000000001</v>
      </c>
      <c r="AF107" s="64">
        <v>129.30000000000001</v>
      </c>
      <c r="AG107" s="103"/>
      <c r="AH107" s="47">
        <f t="shared" si="8"/>
        <v>137.30000000000001</v>
      </c>
      <c r="AI107" s="48">
        <f t="shared" si="9"/>
        <v>124.1</v>
      </c>
    </row>
    <row r="108" spans="1:37" ht="15.75" thickBot="1" x14ac:dyDescent="0.3">
      <c r="A108" s="102" t="s">
        <v>116</v>
      </c>
      <c r="B108" s="91">
        <v>65.400000000000006</v>
      </c>
      <c r="C108" s="91">
        <v>65.8</v>
      </c>
      <c r="D108" s="91">
        <v>65.8</v>
      </c>
      <c r="E108" s="91">
        <v>65.8</v>
      </c>
      <c r="F108" s="91">
        <v>65.8</v>
      </c>
      <c r="G108" s="91">
        <v>65.8</v>
      </c>
      <c r="H108" s="91">
        <v>65.8</v>
      </c>
      <c r="I108" s="91">
        <v>65.8</v>
      </c>
      <c r="J108" s="91">
        <v>65.8</v>
      </c>
      <c r="K108" s="91">
        <v>64.5</v>
      </c>
      <c r="L108" s="91">
        <v>64.5</v>
      </c>
      <c r="M108" s="91">
        <v>63.9</v>
      </c>
      <c r="N108" s="91">
        <v>63.3</v>
      </c>
      <c r="O108" s="91">
        <v>63.1</v>
      </c>
      <c r="P108" s="91">
        <v>62.4</v>
      </c>
      <c r="Q108" s="91">
        <v>63.8</v>
      </c>
      <c r="R108" s="91">
        <v>63.6</v>
      </c>
      <c r="S108" s="91">
        <v>62.3</v>
      </c>
      <c r="T108" s="91">
        <v>62.6</v>
      </c>
      <c r="U108" s="91">
        <v>62.6</v>
      </c>
      <c r="V108" s="91">
        <v>63.2</v>
      </c>
      <c r="W108" s="91">
        <v>64.2</v>
      </c>
      <c r="X108" s="91">
        <v>64.2</v>
      </c>
      <c r="Y108" s="91">
        <v>64.2</v>
      </c>
      <c r="Z108" s="91">
        <v>62.6</v>
      </c>
      <c r="AA108" s="91">
        <v>63.2</v>
      </c>
      <c r="AB108" s="91">
        <v>65.3</v>
      </c>
      <c r="AC108" s="91">
        <v>64.7</v>
      </c>
      <c r="AD108" s="91">
        <v>64.5</v>
      </c>
      <c r="AE108" s="91">
        <v>64.7</v>
      </c>
      <c r="AF108" s="91">
        <v>65.900000000000006</v>
      </c>
      <c r="AG108" s="107"/>
      <c r="AH108" s="47">
        <f t="shared" si="8"/>
        <v>65.900000000000006</v>
      </c>
      <c r="AI108" s="48">
        <f t="shared" si="9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104.5</v>
      </c>
      <c r="C110" s="110">
        <f>SUM(C20,C26,C29:C30,C58,C60:C61,C63,C65,C111:C115,C138,C144,C150,C159,C161,C173,C180,C183:C184,C191,C193,C195,C199:C201,C203:C205,C210,C216:C217,C219:C221,C229,C234)</f>
        <v>53.74</v>
      </c>
      <c r="D110" s="110">
        <f t="shared" ref="D110:K110" si="17">SUM(D20,D26,D29:D30,D58,D60:D61,D63,D65,D111:D115,D138,D144,D150,D159,D161,D173,D180,D183:D184,D191,D193,D195,D199:D201,D203:D205,D210,D216:D217,D219:D221,D229,D234)</f>
        <v>53.74</v>
      </c>
      <c r="E110" s="110">
        <f t="shared" si="17"/>
        <v>53.74</v>
      </c>
      <c r="F110" s="110">
        <f t="shared" si="17"/>
        <v>53.74</v>
      </c>
      <c r="G110" s="110">
        <f t="shared" si="17"/>
        <v>53.74</v>
      </c>
      <c r="H110" s="110">
        <f t="shared" si="17"/>
        <v>53.74</v>
      </c>
      <c r="I110" s="110">
        <f t="shared" si="17"/>
        <v>53.74</v>
      </c>
      <c r="J110" s="110">
        <f t="shared" si="17"/>
        <v>53.74</v>
      </c>
      <c r="K110" s="110">
        <f t="shared" si="17"/>
        <v>183.84000000000003</v>
      </c>
      <c r="L110" s="110">
        <f>SUM(L20,L26,L29:L30,L58,L60:L61,L63,L65,L111:L115,L138,L144,L150,L159,L161,L173,L180,L183:L184,L191,L193,L195,L199:L201,L203:L205,L210,L216:L217,L219:L221,L229,L234)</f>
        <v>172.44</v>
      </c>
      <c r="M110" s="110">
        <f>SUM(M20,M26,M29:M30,M58,M60:M61,M63,M65,M111:M115,M138,M144,M150,M159,M161,M173,M180,M183:M184,M191,M193,M195,M199:M201,M203:M205,M210,M216:M217,M219:M221,M229,M234)</f>
        <v>207.74</v>
      </c>
      <c r="N110" s="110">
        <f>SUM(N20,N26,N29:N30,N58,N60:N61,N63,N65,N111:N115,N138,N144,N150,N159,N161,N173,N180,N183:N184,N191,N193,N195,N199:N201,N203:N205,N210,N216:N217,N219:N221,N229,N234)</f>
        <v>212.24</v>
      </c>
      <c r="O110" s="110">
        <f>SUM(O20,O26,O29:O30,O58,O60:O61,O63,O65,O111:O115,O138,O144,O150,O159,O161,O173,O180,O183:O184,O191,O193,O195,O199:O201,O203:O205,O210,O216:O217,O219:O221,O229,O234)</f>
        <v>233.54000000000002</v>
      </c>
      <c r="P110" s="110">
        <v>42</v>
      </c>
      <c r="Q110" s="110">
        <f t="shared" ref="Q110:AE110" si="18">SUM(Q20,Q26,Q29:Q30,Q58,Q60:Q61,Q63,Q65,Q111:Q115,Q138,Q144,Q150,Q159,Q161,Q173,Q180,Q183:Q184,Q191,Q193,Q195,Q199:Q201,Q203:Q205,Q210,Q216:Q217,Q219:Q221,Q229,Q234)</f>
        <v>153.39999999999998</v>
      </c>
      <c r="R110" s="110">
        <f t="shared" si="18"/>
        <v>194.20000000000002</v>
      </c>
      <c r="S110" s="110">
        <f t="shared" si="18"/>
        <v>197.70000000000002</v>
      </c>
      <c r="T110" s="110">
        <f t="shared" si="18"/>
        <v>196.39999999999998</v>
      </c>
      <c r="U110" s="110">
        <f t="shared" si="18"/>
        <v>187.8</v>
      </c>
      <c r="V110" s="110">
        <f t="shared" si="18"/>
        <v>168.5</v>
      </c>
      <c r="W110" s="110">
        <f t="shared" si="18"/>
        <v>187.80000000000004</v>
      </c>
      <c r="X110" s="110">
        <f t="shared" si="18"/>
        <v>211.60000000000002</v>
      </c>
      <c r="Y110" s="110">
        <f t="shared" si="18"/>
        <v>211.60000000000002</v>
      </c>
      <c r="Z110" s="110">
        <f t="shared" si="18"/>
        <v>231.5</v>
      </c>
      <c r="AA110" s="110">
        <f t="shared" si="18"/>
        <v>252.8</v>
      </c>
      <c r="AB110" s="110">
        <f t="shared" si="18"/>
        <v>218.10000000000002</v>
      </c>
      <c r="AC110" s="110">
        <f t="shared" si="18"/>
        <v>171.36666666666667</v>
      </c>
      <c r="AD110" s="110"/>
      <c r="AE110" s="110">
        <f t="shared" si="18"/>
        <v>71.400000000000006</v>
      </c>
      <c r="AF110" s="110">
        <f>SUM(AF20,AF26,AF29:AF30,AF58,AF60:AF61,AF63,AF65,AF111:AF115,AF138,AF144,AF150,AF159,AF161,AF173,AF180,AF183:AF184,AF191,AF193,AF195,AF199:AF201,AF203:AF205,AF210,AF216:AF217,AF219:AF221,AF229,AF234)</f>
        <v>57.300000000000026</v>
      </c>
      <c r="AG110" s="111"/>
      <c r="AH110" s="47">
        <f t="shared" si="8"/>
        <v>252.8</v>
      </c>
      <c r="AI110" s="48">
        <f t="shared" si="9"/>
        <v>42</v>
      </c>
    </row>
    <row r="111" spans="1:37" x14ac:dyDescent="0.25">
      <c r="A111" s="99" t="s">
        <v>119</v>
      </c>
      <c r="B111" s="112">
        <v>6</v>
      </c>
      <c r="C111" s="112">
        <v>6.4</v>
      </c>
      <c r="D111" s="112">
        <v>6.4</v>
      </c>
      <c r="E111" s="112">
        <v>6.4</v>
      </c>
      <c r="F111" s="112">
        <v>6.4</v>
      </c>
      <c r="G111" s="112">
        <v>6.4</v>
      </c>
      <c r="H111" s="112">
        <v>6.4</v>
      </c>
      <c r="I111" s="112">
        <v>6.4</v>
      </c>
      <c r="J111" s="112">
        <v>6.4</v>
      </c>
      <c r="K111" s="112">
        <v>39</v>
      </c>
      <c r="L111" s="112">
        <v>39</v>
      </c>
      <c r="M111" s="112">
        <v>53</v>
      </c>
      <c r="N111" s="112">
        <v>45.6</v>
      </c>
      <c r="O111" s="112">
        <v>44.1</v>
      </c>
      <c r="P111" s="112">
        <v>43.9</v>
      </c>
      <c r="Q111" s="112">
        <v>31.5</v>
      </c>
      <c r="R111" s="112">
        <v>28.3</v>
      </c>
      <c r="S111" s="112">
        <v>41.1</v>
      </c>
      <c r="T111" s="112">
        <v>39.1</v>
      </c>
      <c r="U111" s="112">
        <v>39.1</v>
      </c>
      <c r="V111" s="112">
        <v>31.7</v>
      </c>
      <c r="W111" s="112">
        <v>33.200000000000003</v>
      </c>
      <c r="X111" s="112">
        <v>40.4</v>
      </c>
      <c r="Y111" s="112">
        <v>40.4</v>
      </c>
      <c r="Z111" s="112">
        <v>65.599999999999994</v>
      </c>
      <c r="AA111" s="112">
        <v>69.099999999999994</v>
      </c>
      <c r="AB111" s="112">
        <v>63</v>
      </c>
      <c r="AC111" s="112">
        <v>46</v>
      </c>
      <c r="AD111" s="112">
        <v>43.6</v>
      </c>
      <c r="AE111" s="112">
        <v>39.200000000000003</v>
      </c>
      <c r="AF111" s="112">
        <v>16.399999999999999</v>
      </c>
      <c r="AG111" s="113">
        <v>75</v>
      </c>
      <c r="AH111" s="47">
        <f t="shared" si="8"/>
        <v>69.099999999999994</v>
      </c>
      <c r="AI111" s="48">
        <f t="shared" si="9"/>
        <v>6</v>
      </c>
    </row>
    <row r="112" spans="1:37" x14ac:dyDescent="0.25">
      <c r="A112" s="102" t="s">
        <v>120</v>
      </c>
      <c r="B112" s="114">
        <v>11</v>
      </c>
      <c r="C112" s="114">
        <v>10</v>
      </c>
      <c r="D112" s="114">
        <v>10</v>
      </c>
      <c r="E112" s="114">
        <v>10</v>
      </c>
      <c r="F112" s="114">
        <v>10</v>
      </c>
      <c r="G112" s="114">
        <v>10</v>
      </c>
      <c r="H112" s="114">
        <v>10</v>
      </c>
      <c r="I112" s="114">
        <v>10</v>
      </c>
      <c r="J112" s="114">
        <v>10</v>
      </c>
      <c r="K112" s="114">
        <v>56</v>
      </c>
      <c r="L112" s="114">
        <v>56</v>
      </c>
      <c r="M112" s="114">
        <v>71.8</v>
      </c>
      <c r="N112" s="114">
        <v>59.6</v>
      </c>
      <c r="O112" s="114">
        <v>57.9</v>
      </c>
      <c r="P112" s="114">
        <v>55.4</v>
      </c>
      <c r="Q112" s="114">
        <v>38.799999999999997</v>
      </c>
      <c r="R112" s="114">
        <v>34.200000000000003</v>
      </c>
      <c r="S112" s="114">
        <v>54.5</v>
      </c>
      <c r="T112" s="114">
        <v>49.2</v>
      </c>
      <c r="U112" s="114">
        <v>49.2</v>
      </c>
      <c r="V112" s="114">
        <v>45.3</v>
      </c>
      <c r="W112" s="114">
        <v>47.8</v>
      </c>
      <c r="X112" s="114">
        <v>54.4</v>
      </c>
      <c r="Y112" s="114">
        <v>54.4</v>
      </c>
      <c r="Z112" s="114">
        <v>94.8</v>
      </c>
      <c r="AA112" s="114">
        <v>100.2</v>
      </c>
      <c r="AB112" s="114">
        <v>91.7</v>
      </c>
      <c r="AC112" s="114">
        <v>68.8</v>
      </c>
      <c r="AD112" s="114">
        <v>63.2</v>
      </c>
      <c r="AE112" s="114">
        <v>53.9</v>
      </c>
      <c r="AF112" s="114">
        <v>24.8</v>
      </c>
      <c r="AG112" s="113">
        <v>240</v>
      </c>
      <c r="AH112" s="47">
        <f t="shared" si="8"/>
        <v>100.2</v>
      </c>
      <c r="AI112" s="48">
        <f t="shared" si="9"/>
        <v>10</v>
      </c>
    </row>
    <row r="113" spans="1:37" x14ac:dyDescent="0.25">
      <c r="A113" s="102" t="s">
        <v>121</v>
      </c>
      <c r="B113" s="114">
        <v>-105</v>
      </c>
      <c r="C113" s="114">
        <v>-100</v>
      </c>
      <c r="D113" s="114">
        <v>-100</v>
      </c>
      <c r="E113" s="114">
        <v>-100</v>
      </c>
      <c r="F113" s="114">
        <v>-100</v>
      </c>
      <c r="G113" s="114">
        <v>-100</v>
      </c>
      <c r="H113" s="114">
        <v>-100</v>
      </c>
      <c r="I113" s="114">
        <v>-100</v>
      </c>
      <c r="J113" s="114">
        <v>-100</v>
      </c>
      <c r="K113" s="114">
        <v>-65.8</v>
      </c>
      <c r="L113" s="114">
        <v>-65.8</v>
      </c>
      <c r="M113" s="114">
        <v>-21</v>
      </c>
      <c r="N113" s="114">
        <v>-23</v>
      </c>
      <c r="O113" s="114">
        <v>-28</v>
      </c>
      <c r="P113" s="114">
        <v>-12.6</v>
      </c>
      <c r="Q113" s="114">
        <v>-57</v>
      </c>
      <c r="R113" s="114">
        <v>-54</v>
      </c>
      <c r="S113" s="114">
        <v>-80</v>
      </c>
      <c r="T113" s="114">
        <v>-87</v>
      </c>
      <c r="U113" s="114">
        <v>-87</v>
      </c>
      <c r="V113" s="114">
        <v>-115</v>
      </c>
      <c r="W113" s="114">
        <v>-100</v>
      </c>
      <c r="X113" s="114">
        <v>-80</v>
      </c>
      <c r="Y113" s="114">
        <v>-80</v>
      </c>
      <c r="Z113" s="114">
        <v>-140</v>
      </c>
      <c r="AA113" s="114">
        <v>-156</v>
      </c>
      <c r="AB113" s="114">
        <f>-72-76</f>
        <v>-148</v>
      </c>
      <c r="AC113" s="114">
        <f>-80-84</f>
        <v>-164</v>
      </c>
      <c r="AD113" s="114">
        <f>-83.3-88</f>
        <v>-171.3</v>
      </c>
      <c r="AE113" s="114">
        <f>-84.8-89.3</f>
        <v>-174.1</v>
      </c>
      <c r="AF113" s="114">
        <f>-68.6-72.1</f>
        <v>-140.69999999999999</v>
      </c>
      <c r="AG113" s="113">
        <v>240</v>
      </c>
      <c r="AH113" s="47">
        <f t="shared" si="8"/>
        <v>-12.6</v>
      </c>
      <c r="AI113" s="48">
        <f t="shared" si="9"/>
        <v>-174.1</v>
      </c>
    </row>
    <row r="114" spans="1:37" x14ac:dyDescent="0.25">
      <c r="A114" s="102" t="s">
        <v>122</v>
      </c>
      <c r="B114" s="114">
        <v>3</v>
      </c>
      <c r="C114" s="114">
        <v>2</v>
      </c>
      <c r="D114" s="114">
        <v>2</v>
      </c>
      <c r="E114" s="114">
        <v>2</v>
      </c>
      <c r="F114" s="114">
        <v>2</v>
      </c>
      <c r="G114" s="114">
        <v>2</v>
      </c>
      <c r="H114" s="114">
        <v>2</v>
      </c>
      <c r="I114" s="114">
        <v>2</v>
      </c>
      <c r="J114" s="114">
        <v>2</v>
      </c>
      <c r="K114" s="114">
        <v>2</v>
      </c>
      <c r="L114" s="114">
        <v>2</v>
      </c>
      <c r="M114" s="114">
        <v>3.4</v>
      </c>
      <c r="N114" s="114">
        <v>17.3</v>
      </c>
      <c r="O114" s="114">
        <v>22.6</v>
      </c>
      <c r="P114" s="114">
        <v>20.8</v>
      </c>
      <c r="Q114" s="114">
        <v>16.7</v>
      </c>
      <c r="R114" s="114">
        <v>16.7</v>
      </c>
      <c r="S114" s="114">
        <v>8</v>
      </c>
      <c r="T114" s="114">
        <v>11</v>
      </c>
      <c r="U114" s="114">
        <v>11</v>
      </c>
      <c r="V114" s="114">
        <v>6</v>
      </c>
      <c r="W114" s="114">
        <v>9.1</v>
      </c>
      <c r="X114" s="114">
        <v>14.1</v>
      </c>
      <c r="Y114" s="114">
        <v>14.1</v>
      </c>
      <c r="Z114" s="114">
        <v>9.4</v>
      </c>
      <c r="AA114" s="114">
        <v>7</v>
      </c>
      <c r="AB114" s="114">
        <v>6.5</v>
      </c>
      <c r="AC114" s="114">
        <f>25/3*2</f>
        <v>16.666666666666668</v>
      </c>
      <c r="AD114" s="114">
        <v>0.6</v>
      </c>
      <c r="AE114" s="114">
        <v>-6.8</v>
      </c>
      <c r="AF114" s="114">
        <v>-3.5</v>
      </c>
      <c r="AG114" s="113">
        <v>60</v>
      </c>
      <c r="AH114" s="47">
        <f t="shared" si="8"/>
        <v>22.6</v>
      </c>
      <c r="AI114" s="48">
        <f t="shared" si="9"/>
        <v>-6.8</v>
      </c>
    </row>
    <row r="115" spans="1:37" x14ac:dyDescent="0.25">
      <c r="A115" s="115" t="s">
        <v>123</v>
      </c>
      <c r="B115" s="116">
        <v>18</v>
      </c>
      <c r="C115" s="116">
        <v>2.4</v>
      </c>
      <c r="D115" s="116">
        <v>2.4</v>
      </c>
      <c r="E115" s="116">
        <v>2.4</v>
      </c>
      <c r="F115" s="116">
        <v>2.4</v>
      </c>
      <c r="G115" s="116">
        <v>2.4</v>
      </c>
      <c r="H115" s="116">
        <v>2.4</v>
      </c>
      <c r="I115" s="116">
        <v>2.4</v>
      </c>
      <c r="J115" s="116">
        <v>2.4</v>
      </c>
      <c r="K115" s="116">
        <v>-5.7</v>
      </c>
      <c r="L115" s="116">
        <v>-5.7</v>
      </c>
      <c r="M115" s="116">
        <v>-5.4</v>
      </c>
      <c r="N115" s="116">
        <v>0</v>
      </c>
      <c r="O115" s="116">
        <v>20.8</v>
      </c>
      <c r="P115" s="116">
        <v>20.9</v>
      </c>
      <c r="Q115" s="116">
        <v>21.2</v>
      </c>
      <c r="R115" s="116">
        <v>20.9</v>
      </c>
      <c r="S115" s="116">
        <v>21</v>
      </c>
      <c r="T115" s="116">
        <v>21.2</v>
      </c>
      <c r="U115" s="116">
        <v>21.2</v>
      </c>
      <c r="V115" s="116">
        <v>43.2</v>
      </c>
      <c r="W115" s="116">
        <v>41.5</v>
      </c>
      <c r="X115" s="116">
        <v>32.4</v>
      </c>
      <c r="Y115" s="116">
        <v>32.4</v>
      </c>
      <c r="Z115" s="116">
        <v>51.4</v>
      </c>
      <c r="AA115" s="116">
        <v>59</v>
      </c>
      <c r="AB115" s="116">
        <v>40.299999999999997</v>
      </c>
      <c r="AC115" s="116">
        <v>39.299999999999997</v>
      </c>
      <c r="AD115" s="116">
        <v>39.9</v>
      </c>
      <c r="AE115" s="116">
        <v>20.2</v>
      </c>
      <c r="AF115" s="116">
        <v>21.3</v>
      </c>
      <c r="AG115" s="117">
        <v>120</v>
      </c>
      <c r="AH115" s="47">
        <f t="shared" si="8"/>
        <v>59</v>
      </c>
      <c r="AI115" s="48">
        <f t="shared" si="9"/>
        <v>-5.7</v>
      </c>
    </row>
    <row r="116" spans="1:37" x14ac:dyDescent="0.25">
      <c r="A116" s="115" t="s">
        <v>124</v>
      </c>
      <c r="B116" s="116">
        <v>61</v>
      </c>
      <c r="C116" s="116">
        <v>55</v>
      </c>
      <c r="D116" s="116">
        <v>55</v>
      </c>
      <c r="E116" s="116">
        <v>55</v>
      </c>
      <c r="F116" s="116">
        <v>55</v>
      </c>
      <c r="G116" s="116">
        <v>55</v>
      </c>
      <c r="H116" s="116">
        <v>55</v>
      </c>
      <c r="I116" s="116">
        <v>55</v>
      </c>
      <c r="J116" s="116">
        <v>55</v>
      </c>
      <c r="K116" s="116">
        <v>33.9</v>
      </c>
      <c r="L116" s="116">
        <v>33.9</v>
      </c>
      <c r="M116" s="116">
        <v>62.4</v>
      </c>
      <c r="N116" s="116">
        <v>68.400000000000006</v>
      </c>
      <c r="O116" s="116">
        <v>60.8</v>
      </c>
      <c r="P116" s="116">
        <v>84.8</v>
      </c>
      <c r="Q116" s="116">
        <v>70.7</v>
      </c>
      <c r="R116" s="116">
        <v>76.2</v>
      </c>
      <c r="S116" s="116">
        <v>89</v>
      </c>
      <c r="T116" s="116">
        <v>84.6</v>
      </c>
      <c r="U116" s="116">
        <v>84.6</v>
      </c>
      <c r="V116" s="116">
        <v>47</v>
      </c>
      <c r="W116" s="116">
        <v>45.6</v>
      </c>
      <c r="X116" s="116">
        <v>56</v>
      </c>
      <c r="Y116" s="116">
        <v>56</v>
      </c>
      <c r="Z116" s="116">
        <v>43.3</v>
      </c>
      <c r="AA116" s="116">
        <v>34</v>
      </c>
      <c r="AB116" s="116">
        <v>35.5</v>
      </c>
      <c r="AC116" s="116">
        <v>40.700000000000003</v>
      </c>
      <c r="AD116" s="116">
        <v>31.4</v>
      </c>
      <c r="AE116" s="116">
        <v>40.299999999999997</v>
      </c>
      <c r="AF116" s="116">
        <v>42.1</v>
      </c>
      <c r="AG116" s="117"/>
      <c r="AH116" s="47">
        <f t="shared" si="8"/>
        <v>89</v>
      </c>
      <c r="AI116" s="48">
        <f t="shared" si="9"/>
        <v>31.4</v>
      </c>
    </row>
    <row r="117" spans="1:37" x14ac:dyDescent="0.25">
      <c r="A117" s="115" t="s">
        <v>125</v>
      </c>
      <c r="B117" s="116">
        <v>10</v>
      </c>
      <c r="C117" s="116">
        <v>4</v>
      </c>
      <c r="D117" s="116">
        <v>4</v>
      </c>
      <c r="E117" s="116">
        <v>4</v>
      </c>
      <c r="F117" s="116">
        <v>4</v>
      </c>
      <c r="G117" s="116">
        <v>4</v>
      </c>
      <c r="H117" s="116">
        <v>4</v>
      </c>
      <c r="I117" s="116">
        <v>4</v>
      </c>
      <c r="J117" s="116">
        <v>4</v>
      </c>
      <c r="K117" s="116">
        <v>-18.5</v>
      </c>
      <c r="L117" s="116">
        <v>-18.5</v>
      </c>
      <c r="M117" s="116">
        <v>-32.700000000000003</v>
      </c>
      <c r="N117" s="116">
        <v>-32.200000000000003</v>
      </c>
      <c r="O117" s="116">
        <v>-35.4</v>
      </c>
      <c r="P117" s="116">
        <v>-32.799999999999997</v>
      </c>
      <c r="Q117" s="116">
        <v>-32</v>
      </c>
      <c r="R117" s="116">
        <v>-27.2</v>
      </c>
      <c r="S117" s="116">
        <v>17</v>
      </c>
      <c r="T117" s="116">
        <v>22.1</v>
      </c>
      <c r="U117" s="116">
        <v>22.1</v>
      </c>
      <c r="V117" s="116">
        <v>44</v>
      </c>
      <c r="W117" s="116">
        <v>28</v>
      </c>
      <c r="X117" s="116">
        <v>17</v>
      </c>
      <c r="Y117" s="116">
        <v>17</v>
      </c>
      <c r="Z117" s="116">
        <v>21.8</v>
      </c>
      <c r="AA117" s="116">
        <v>21</v>
      </c>
      <c r="AB117" s="116">
        <v>23</v>
      </c>
      <c r="AC117" s="116">
        <v>27.4</v>
      </c>
      <c r="AD117" s="116">
        <v>32</v>
      </c>
      <c r="AE117" s="116">
        <v>27</v>
      </c>
      <c r="AF117" s="116">
        <v>42.7</v>
      </c>
      <c r="AG117" s="118"/>
      <c r="AH117" s="47">
        <f t="shared" si="8"/>
        <v>44</v>
      </c>
      <c r="AI117" s="48">
        <f t="shared" si="9"/>
        <v>-35.4</v>
      </c>
    </row>
    <row r="118" spans="1:37" x14ac:dyDescent="0.25">
      <c r="A118" s="119" t="s">
        <v>126</v>
      </c>
      <c r="B118" s="105">
        <v>47</v>
      </c>
      <c r="C118" s="105">
        <v>68</v>
      </c>
      <c r="D118" s="105">
        <v>68</v>
      </c>
      <c r="E118" s="105">
        <v>68</v>
      </c>
      <c r="F118" s="105">
        <v>68</v>
      </c>
      <c r="G118" s="105">
        <v>68</v>
      </c>
      <c r="H118" s="105">
        <v>68</v>
      </c>
      <c r="I118" s="105">
        <v>68</v>
      </c>
      <c r="J118" s="105">
        <v>68</v>
      </c>
      <c r="K118" s="105">
        <v>56.3</v>
      </c>
      <c r="L118" s="105">
        <v>56.3</v>
      </c>
      <c r="M118" s="105">
        <v>54.2</v>
      </c>
      <c r="N118" s="105">
        <v>53</v>
      </c>
      <c r="O118" s="105">
        <v>49.6</v>
      </c>
      <c r="P118" s="105">
        <v>32.700000000000003</v>
      </c>
      <c r="Q118" s="105">
        <v>32.1</v>
      </c>
      <c r="R118" s="105">
        <v>21.9</v>
      </c>
      <c r="S118" s="105">
        <v>35</v>
      </c>
      <c r="T118" s="105">
        <v>37.700000000000003</v>
      </c>
      <c r="U118" s="105">
        <v>37.700000000000003</v>
      </c>
      <c r="V118" s="105">
        <v>39</v>
      </c>
      <c r="W118" s="105">
        <v>38</v>
      </c>
      <c r="X118" s="105">
        <v>36</v>
      </c>
      <c r="Y118" s="105">
        <v>36</v>
      </c>
      <c r="Z118" s="105">
        <v>26</v>
      </c>
      <c r="AA118" s="105">
        <v>33</v>
      </c>
      <c r="AB118" s="105">
        <v>33.4</v>
      </c>
      <c r="AC118" s="105">
        <v>36</v>
      </c>
      <c r="AD118" s="105">
        <v>38.299999999999997</v>
      </c>
      <c r="AE118" s="105">
        <v>41.2</v>
      </c>
      <c r="AF118" s="105">
        <v>56.6</v>
      </c>
      <c r="AG118" s="118"/>
      <c r="AH118" s="47">
        <f t="shared" si="8"/>
        <v>68</v>
      </c>
      <c r="AI118" s="48">
        <f t="shared" si="9"/>
        <v>21.9</v>
      </c>
    </row>
    <row r="119" spans="1:37" x14ac:dyDescent="0.25">
      <c r="A119" s="120" t="s">
        <v>127</v>
      </c>
      <c r="B119" s="105">
        <v>80</v>
      </c>
      <c r="C119" s="105">
        <v>65</v>
      </c>
      <c r="D119" s="105">
        <v>65</v>
      </c>
      <c r="E119" s="105">
        <v>65</v>
      </c>
      <c r="F119" s="105">
        <v>65</v>
      </c>
      <c r="G119" s="105">
        <v>65</v>
      </c>
      <c r="H119" s="105">
        <v>65</v>
      </c>
      <c r="I119" s="105">
        <v>65</v>
      </c>
      <c r="J119" s="105">
        <v>65</v>
      </c>
      <c r="K119" s="105">
        <v>56</v>
      </c>
      <c r="L119" s="105">
        <v>56</v>
      </c>
      <c r="M119" s="105">
        <v>60.5</v>
      </c>
      <c r="N119" s="105">
        <v>58.7</v>
      </c>
      <c r="O119" s="105">
        <v>59.9</v>
      </c>
      <c r="P119" s="105">
        <v>38</v>
      </c>
      <c r="Q119" s="105">
        <v>69.400000000000006</v>
      </c>
      <c r="R119" s="105">
        <v>72.7</v>
      </c>
      <c r="S119" s="105">
        <v>63</v>
      </c>
      <c r="T119" s="105">
        <v>61.5</v>
      </c>
      <c r="U119" s="105">
        <v>61.5</v>
      </c>
      <c r="V119" s="105">
        <v>50</v>
      </c>
      <c r="W119" s="105">
        <v>48.3</v>
      </c>
      <c r="X119" s="105">
        <v>37</v>
      </c>
      <c r="Y119" s="105">
        <v>37</v>
      </c>
      <c r="Z119" s="105">
        <v>67</v>
      </c>
      <c r="AA119" s="105">
        <v>77.400000000000006</v>
      </c>
      <c r="AB119" s="105">
        <v>73.599999999999994</v>
      </c>
      <c r="AC119" s="105">
        <v>78.5</v>
      </c>
      <c r="AD119" s="105">
        <v>85.3</v>
      </c>
      <c r="AE119" s="105">
        <v>86.6</v>
      </c>
      <c r="AF119" s="105">
        <v>81</v>
      </c>
      <c r="AG119" s="118"/>
      <c r="AH119" s="47">
        <f t="shared" si="8"/>
        <v>86.6</v>
      </c>
      <c r="AI119" s="48">
        <f t="shared" si="9"/>
        <v>37</v>
      </c>
    </row>
    <row r="120" spans="1:37" ht="15.75" thickBot="1" x14ac:dyDescent="0.3">
      <c r="A120" s="119" t="s">
        <v>128</v>
      </c>
      <c r="B120" s="105">
        <v>13</v>
      </c>
      <c r="C120" s="105">
        <v>12</v>
      </c>
      <c r="D120" s="105">
        <v>12</v>
      </c>
      <c r="E120" s="105">
        <v>12</v>
      </c>
      <c r="F120" s="105">
        <v>12</v>
      </c>
      <c r="G120" s="105">
        <v>12</v>
      </c>
      <c r="H120" s="105">
        <v>12</v>
      </c>
      <c r="I120" s="105">
        <v>12</v>
      </c>
      <c r="J120" s="105">
        <v>12</v>
      </c>
      <c r="K120" s="105">
        <v>-11.5</v>
      </c>
      <c r="L120" s="105">
        <v>-11.5</v>
      </c>
      <c r="M120" s="105">
        <v>-0.4</v>
      </c>
      <c r="N120" s="105">
        <v>7.1</v>
      </c>
      <c r="O120" s="105">
        <v>3.9</v>
      </c>
      <c r="P120" s="105">
        <v>23.1</v>
      </c>
      <c r="Q120" s="105">
        <v>25.7</v>
      </c>
      <c r="R120" s="105">
        <v>17.100000000000001</v>
      </c>
      <c r="S120" s="105">
        <v>19</v>
      </c>
      <c r="T120" s="105">
        <v>21</v>
      </c>
      <c r="U120" s="105">
        <v>21</v>
      </c>
      <c r="V120" s="105">
        <v>-7</v>
      </c>
      <c r="W120" s="105">
        <v>-7.3</v>
      </c>
      <c r="X120" s="105">
        <v>6</v>
      </c>
      <c r="Y120" s="105">
        <v>6</v>
      </c>
      <c r="Z120" s="105">
        <v>35</v>
      </c>
      <c r="AA120" s="105">
        <v>28.1</v>
      </c>
      <c r="AB120" s="105">
        <v>31.6</v>
      </c>
      <c r="AC120" s="105">
        <v>24.2</v>
      </c>
      <c r="AD120" s="105">
        <v>24.7</v>
      </c>
      <c r="AE120" s="105">
        <v>9.6</v>
      </c>
      <c r="AF120" s="105">
        <v>5.9</v>
      </c>
      <c r="AG120" s="118"/>
      <c r="AH120" s="47">
        <f t="shared" si="8"/>
        <v>35</v>
      </c>
      <c r="AI120" s="48">
        <f t="shared" si="9"/>
        <v>-11.5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1958.44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1916.5900000000001</v>
      </c>
      <c r="U249" s="170">
        <f t="shared" si="23"/>
        <v>1834.69</v>
      </c>
      <c r="V249" s="170">
        <f t="shared" si="23"/>
        <v>1834.69</v>
      </c>
      <c r="W249" s="170">
        <f t="shared" si="23"/>
        <v>1834.69</v>
      </c>
      <c r="X249" s="170">
        <f t="shared" si="23"/>
        <v>1834.69</v>
      </c>
      <c r="Y249" s="170">
        <f t="shared" si="23"/>
        <v>1834.69</v>
      </c>
      <c r="Z249" s="170">
        <f t="shared" si="23"/>
        <v>1834.69</v>
      </c>
      <c r="AA249" s="170">
        <f t="shared" si="23"/>
        <v>1834.69</v>
      </c>
      <c r="AB249" s="170">
        <f t="shared" si="23"/>
        <v>1834.69</v>
      </c>
      <c r="AC249" s="170">
        <f t="shared" si="23"/>
        <v>1938.59</v>
      </c>
      <c r="AD249" s="170">
        <f t="shared" si="23"/>
        <v>1927.79</v>
      </c>
      <c r="AE249" s="170">
        <f t="shared" si="23"/>
        <v>1940.24</v>
      </c>
      <c r="AF249" s="170">
        <f t="shared" si="23"/>
        <v>1958.44</v>
      </c>
      <c r="AG249" s="170">
        <f t="shared" si="23"/>
        <v>1975.54</v>
      </c>
      <c r="AH249" s="170">
        <f t="shared" si="23"/>
        <v>1953.64</v>
      </c>
      <c r="AI249" s="170">
        <f t="shared" si="23"/>
        <v>1957.64</v>
      </c>
      <c r="AJ249" s="170">
        <f t="shared" si="23"/>
        <v>1942.64</v>
      </c>
      <c r="AK249" s="170">
        <f t="shared" si="23"/>
        <v>1948.64</v>
      </c>
      <c r="AL249" s="170">
        <f t="shared" si="23"/>
        <v>1932.54</v>
      </c>
      <c r="AM249" s="170">
        <f t="shared" si="23"/>
        <v>1922.24</v>
      </c>
      <c r="AN249" s="170">
        <f t="shared" si="23"/>
        <v>1939.24</v>
      </c>
      <c r="AO249" s="170">
        <f t="shared" si="23"/>
        <v>1927.6399999999999</v>
      </c>
      <c r="AP249" s="170">
        <f t="shared" si="23"/>
        <v>1934.14</v>
      </c>
      <c r="AQ249" s="170">
        <f t="shared" si="23"/>
        <v>1959.54</v>
      </c>
      <c r="AR249" s="170">
        <f t="shared" si="23"/>
        <v>1967.84</v>
      </c>
      <c r="AS249" s="170">
        <f t="shared" si="23"/>
        <v>2072.6400000000003</v>
      </c>
      <c r="AT249" s="170">
        <f t="shared" si="23"/>
        <v>2072.7399999999998</v>
      </c>
      <c r="AU249" s="170">
        <f t="shared" si="23"/>
        <v>2057.04</v>
      </c>
      <c r="AV249" s="170">
        <f t="shared" si="23"/>
        <v>2011.44</v>
      </c>
      <c r="AW249" s="170">
        <f t="shared" si="23"/>
        <v>1983.14</v>
      </c>
      <c r="AX249" s="170">
        <f t="shared" si="23"/>
        <v>1953.14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740" priority="64">
      <formula>$AH11=0</formula>
    </cfRule>
  </conditionalFormatting>
  <conditionalFormatting sqref="B8 M8 S8 AB8">
    <cfRule type="expression" dxfId="2739" priority="116">
      <formula>AND(C$9&gt;=8/24,C$9&lt;14/24)</formula>
    </cfRule>
    <cfRule type="expression" dxfId="2738" priority="117">
      <formula>C$9&lt;8/24</formula>
    </cfRule>
    <cfRule type="expression" dxfId="2737" priority="115">
      <formula>AND(C$9&gt;=14/24,C$9&lt;20/24)</formula>
    </cfRule>
  </conditionalFormatting>
  <conditionalFormatting sqref="B54:C54 B93:AF101 B102:AE102 B103:AF109">
    <cfRule type="expression" dxfId="2736" priority="41">
      <formula>B$9&lt;8/24</formula>
    </cfRule>
    <cfRule type="expression" dxfId="2735" priority="40">
      <formula>AND(B$9&gt;=8/24,B$9&lt;14/24)</formula>
    </cfRule>
    <cfRule type="expression" dxfId="2734" priority="39">
      <formula>AND(B$9&gt;=14/24,B$9&lt;20/24)</formula>
    </cfRule>
    <cfRule type="expression" dxfId="2733" priority="38">
      <formula>B$9&gt;=20/24</formula>
    </cfRule>
  </conditionalFormatting>
  <conditionalFormatting sqref="B54:C66">
    <cfRule type="expression" dxfId="2732" priority="33">
      <formula>B54&gt;$AG54</formula>
    </cfRule>
  </conditionalFormatting>
  <conditionalFormatting sqref="B55:W60 X56:AA60">
    <cfRule type="expression" dxfId="2731" priority="53">
      <formula>AND(B$9&gt;=8/24,B$9&lt;14/24)</formula>
    </cfRule>
    <cfRule type="expression" dxfId="2730" priority="51">
      <formula>B$9&gt;=20/24</formula>
    </cfRule>
    <cfRule type="expression" dxfId="2729" priority="54">
      <formula>B$9&lt;8/24</formula>
    </cfRule>
    <cfRule type="expression" dxfId="2728" priority="52">
      <formula>AND(B$9&gt;=14/24,B$9&lt;20/24)</formula>
    </cfRule>
  </conditionalFormatting>
  <conditionalFormatting sqref="B9:AF45">
    <cfRule type="expression" dxfId="2727" priority="26">
      <formula>B$9&lt;8/24</formula>
    </cfRule>
    <cfRule type="expression" dxfId="2726" priority="23">
      <formula>B$9&gt;=20/24</formula>
    </cfRule>
    <cfRule type="expression" dxfId="2725" priority="24">
      <formula>AND(B$9&gt;=14/24,B$9&lt;20/24)</formula>
    </cfRule>
    <cfRule type="expression" dxfId="2724" priority="25">
      <formula>AND(B$9&gt;=8/24,B$9&lt;14/24)</formula>
    </cfRule>
  </conditionalFormatting>
  <conditionalFormatting sqref="B11:AF46">
    <cfRule type="expression" dxfId="2723" priority="22">
      <formula>B11&gt;$AG11</formula>
    </cfRule>
  </conditionalFormatting>
  <conditionalFormatting sqref="B46:AF46">
    <cfRule type="expression" dxfId="2722" priority="18">
      <formula>B$9&gt;=20/24</formula>
    </cfRule>
    <cfRule type="expression" dxfId="2721" priority="19">
      <formula>AND(B$9&gt;=14/24,B$9&lt;20/24)</formula>
    </cfRule>
    <cfRule type="expression" dxfId="2720" priority="20">
      <formula>AND(B$9&gt;=8/24,B$9&lt;14/24)</formula>
    </cfRule>
    <cfRule type="expression" dxfId="2719" priority="21">
      <formula>B$9&lt;8/24</formula>
    </cfRule>
  </conditionalFormatting>
  <conditionalFormatting sqref="B47:AF47">
    <cfRule type="expression" dxfId="2718" priority="32">
      <formula>B47&gt;$AG47</formula>
    </cfRule>
  </conditionalFormatting>
  <conditionalFormatting sqref="B47:AF49">
    <cfRule type="expression" dxfId="2717" priority="30">
      <formula>AND(B$9&gt;=8/24,B$9&lt;14/24)</formula>
    </cfRule>
    <cfRule type="expression" dxfId="2716" priority="28">
      <formula>B$9&gt;=20/24</formula>
    </cfRule>
    <cfRule type="expression" dxfId="2715" priority="29">
      <formula>AND(B$9&gt;=14/24,B$9&lt;20/24)</formula>
    </cfRule>
    <cfRule type="expression" dxfId="2714" priority="31">
      <formula>B$9&lt;8/24</formula>
    </cfRule>
  </conditionalFormatting>
  <conditionalFormatting sqref="B48:AF53">
    <cfRule type="expression" dxfId="2713" priority="27">
      <formula>B48&gt;$AG48</formula>
    </cfRule>
  </conditionalFormatting>
  <conditionalFormatting sqref="B51:AF53">
    <cfRule type="expression" dxfId="2712" priority="49">
      <formula>AND(B$9&gt;=8/24,B$9&lt;14/24)</formula>
    </cfRule>
    <cfRule type="expression" dxfId="2711" priority="48">
      <formula>AND(B$9&gt;=14/24,B$9&lt;20/24)</formula>
    </cfRule>
    <cfRule type="expression" dxfId="2710" priority="47">
      <formula>B$9&gt;=20/24</formula>
    </cfRule>
    <cfRule type="expression" dxfId="2709" priority="50">
      <formula>B$9&lt;8/24</formula>
    </cfRule>
  </conditionalFormatting>
  <conditionalFormatting sqref="B61:AF66">
    <cfRule type="expression" dxfId="2708" priority="37">
      <formula>B$9&lt;8/24</formula>
    </cfRule>
    <cfRule type="expression" dxfId="2707" priority="35">
      <formula>AND(B$9&gt;=14/24,B$9&lt;20/24)</formula>
    </cfRule>
    <cfRule type="expression" dxfId="2706" priority="36">
      <formula>AND(B$9&gt;=8/24,B$9&lt;14/24)</formula>
    </cfRule>
    <cfRule type="expression" dxfId="2705" priority="34">
      <formula>B$9&gt;=20/24</formula>
    </cfRule>
  </conditionalFormatting>
  <conditionalFormatting sqref="B69:AF71">
    <cfRule type="expression" dxfId="2704" priority="55">
      <formula>B69&gt;$AG69</formula>
    </cfRule>
    <cfRule type="expression" dxfId="2703" priority="59">
      <formula>B$9&lt;8/24</formula>
    </cfRule>
    <cfRule type="expression" dxfId="2702" priority="56">
      <formula>B$9&gt;=20/24</formula>
    </cfRule>
    <cfRule type="expression" dxfId="2701" priority="58">
      <formula>AND(B$9&gt;=8/24,B$9&lt;14/24)</formula>
    </cfRule>
    <cfRule type="expression" dxfId="2700" priority="57">
      <formula>AND(B$9&gt;=14/24,B$9&lt;20/24)</formula>
    </cfRule>
  </conditionalFormatting>
  <conditionalFormatting sqref="B73:AF91">
    <cfRule type="expression" dxfId="2699" priority="4">
      <formula>B$9&lt;8/24</formula>
    </cfRule>
    <cfRule type="expression" dxfId="2698" priority="3">
      <formula>AND(B$9&gt;=8/24,B$9&lt;14/24)</formula>
    </cfRule>
    <cfRule type="expression" dxfId="2697" priority="1">
      <formula>B$9&gt;=20/24</formula>
    </cfRule>
    <cfRule type="expression" dxfId="2696" priority="2">
      <formula>AND(B$9&gt;=14/24,B$9&lt;20/24)</formula>
    </cfRule>
  </conditionalFormatting>
  <conditionalFormatting sqref="B111:AF120">
    <cfRule type="expression" dxfId="2695" priority="15">
      <formula>AND(B$9&gt;=14/24,B$9&lt;20/24)</formula>
    </cfRule>
    <cfRule type="expression" dxfId="2694" priority="14">
      <formula>B$9&gt;=20/24</formula>
    </cfRule>
    <cfRule type="expression" dxfId="2693" priority="17">
      <formula>B$9&lt;8/24</formula>
    </cfRule>
    <cfRule type="expression" dxfId="2692" priority="16">
      <formula>AND(B$9&gt;=8/24,B$9&lt;14/24)</formula>
    </cfRule>
  </conditionalFormatting>
  <conditionalFormatting sqref="B227:AF227 D229:AF230 B229:B235 D231:H231 J231:AF231 D232:AF235 U248:AF248">
    <cfRule type="expression" dxfId="2691" priority="109">
      <formula>AND(B$9&gt;=14/24,B$9&lt;20/24)</formula>
    </cfRule>
    <cfRule type="expression" dxfId="2690" priority="110">
      <formula>AND(B$9&gt;=8/24,B$9&lt;14/24)</formula>
    </cfRule>
    <cfRule type="expression" dxfId="2689" priority="111">
      <formula>B$9&lt;8/24</formula>
    </cfRule>
    <cfRule type="expression" dxfId="2688" priority="108">
      <formula>B$9&gt;=20/24</formula>
    </cfRule>
  </conditionalFormatting>
  <conditionalFormatting sqref="B67:AG68 B72:AG72">
    <cfRule type="expression" dxfId="2687" priority="42">
      <formula>B67&gt;$AG67</formula>
    </cfRule>
  </conditionalFormatting>
  <conditionalFormatting sqref="B72:AG72">
    <cfRule type="expression" dxfId="2686" priority="46">
      <formula>B$9&lt;8/24</formula>
    </cfRule>
    <cfRule type="expression" dxfId="2685" priority="43">
      <formula>B$9&gt;=20/24</formula>
    </cfRule>
    <cfRule type="expression" dxfId="2684" priority="44">
      <formula>AND(B$9&gt;=14/24,B$9&lt;20/24)</formula>
    </cfRule>
    <cfRule type="expression" dxfId="2683" priority="45">
      <formula>AND(B$9&gt;=8/24,B$9&lt;14/24)</formula>
    </cfRule>
  </conditionalFormatting>
  <conditionalFormatting sqref="D55:AF66">
    <cfRule type="expression" dxfId="2682" priority="5">
      <formula>D55&gt;$AG55</formula>
    </cfRule>
  </conditionalFormatting>
  <conditionalFormatting sqref="D54:AG54">
    <cfRule type="expression" dxfId="2681" priority="78">
      <formula>AND(D$9&gt;=14/24,D$9&lt;20/24)</formula>
    </cfRule>
    <cfRule type="expression" dxfId="2680" priority="77">
      <formula>D$9&gt;=20/24</formula>
    </cfRule>
    <cfRule type="expression" dxfId="2679" priority="76">
      <formula>D54&gt;$AG54</formula>
    </cfRule>
    <cfRule type="expression" dxfId="2678" priority="79">
      <formula>AND(D$9&gt;=8/24,D$9&lt;14/24)</formula>
    </cfRule>
    <cfRule type="expression" dxfId="2677" priority="80">
      <formula>D$9&lt;8/24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676" priority="114">
      <formula>C$9&gt;=20/24</formula>
    </cfRule>
  </conditionalFormatting>
  <conditionalFormatting sqref="S8">
    <cfRule type="expression" dxfId="2675" priority="101">
      <formula>U$9&gt;=20/24</formula>
    </cfRule>
    <cfRule type="expression" dxfId="2674" priority="102">
      <formula>AND(U$9&gt;=14/24,U$9&lt;20/24)</formula>
    </cfRule>
    <cfRule type="expression" dxfId="2673" priority="104">
      <formula>U$9&lt;8/24</formula>
    </cfRule>
    <cfRule type="expression" dxfId="2672" priority="103">
      <formula>AND(U$9&gt;=8/24,U$9&lt;14/24)</formula>
    </cfRule>
  </conditionalFormatting>
  <conditionalFormatting sqref="S55:AF60">
    <cfRule type="expression" dxfId="2671" priority="12">
      <formula>AND(S$9&gt;=8/24,S$9&lt;14/24)</formula>
    </cfRule>
    <cfRule type="expression" dxfId="2670" priority="10">
      <formula>S$9&gt;=20/24</formula>
    </cfRule>
    <cfRule type="expression" dxfId="2669" priority="11">
      <formula>AND(S$9&gt;=14/24,S$9&lt;20/24)</formula>
    </cfRule>
    <cfRule type="expression" dxfId="2668" priority="13">
      <formula>S$9&lt;8/24</formula>
    </cfRule>
  </conditionalFormatting>
  <conditionalFormatting sqref="T248">
    <cfRule type="expression" dxfId="2667" priority="129">
      <formula>AX$9&lt;8/24</formula>
    </cfRule>
    <cfRule type="expression" dxfId="2666" priority="126">
      <formula>AX$9&gt;=20/24</formula>
    </cfRule>
    <cfRule type="expression" dxfId="2665" priority="127">
      <formula>AND(AX$9&gt;=14/24,AX$9&lt;20/24)</formula>
    </cfRule>
    <cfRule type="expression" dxfId="2664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663" priority="100">
      <formula>AD$9&lt;8/24</formula>
    </cfRule>
    <cfRule type="expression" dxfId="2662" priority="99">
      <formula>AND(AD$9&gt;=8/24,AD$9&lt;14/24)</formula>
    </cfRule>
    <cfRule type="expression" dxfId="2661" priority="98">
      <formula>AND(AD$9&gt;=14/24,AD$9&lt;20/24)</formula>
    </cfRule>
    <cfRule type="expression" dxfId="2660" priority="97">
      <formula>AD$9&gt;=20/24</formula>
    </cfRule>
  </conditionalFormatting>
  <conditionalFormatting sqref="AG50">
    <cfRule type="expression" dxfId="2659" priority="84">
      <formula>AG50&gt;$AG50</formula>
    </cfRule>
  </conditionalFormatting>
  <conditionalFormatting sqref="AG89">
    <cfRule type="expression" dxfId="2658" priority="85">
      <formula>AG$9&gt;=20/24</formula>
    </cfRule>
    <cfRule type="expression" dxfId="2657" priority="86">
      <formula>AND(AG$9&gt;=14/24,AG$9&lt;20/24)</formula>
    </cfRule>
    <cfRule type="expression" dxfId="2656" priority="88">
      <formula>AG$9&lt;8/24</formula>
    </cfRule>
    <cfRule type="expression" dxfId="2655" priority="87">
      <formula>AND(AG$9&gt;=8/24,AG$9&lt;14/24)</formula>
    </cfRule>
  </conditionalFormatting>
  <conditionalFormatting sqref="AG248">
    <cfRule type="expression" dxfId="2654" priority="120">
      <formula>AND(B$9&gt;=8/24,B$9&lt;14/24)</formula>
    </cfRule>
    <cfRule type="expression" dxfId="2653" priority="119">
      <formula>AND(B$9&gt;=14/24,B$9&lt;20/24)</formula>
    </cfRule>
    <cfRule type="expression" dxfId="2652" priority="121">
      <formula>B$9&lt;8/24</formula>
    </cfRule>
    <cfRule type="expression" dxfId="2651" priority="118">
      <formula>B$9&gt;=20/24</formula>
    </cfRule>
  </conditionalFormatting>
  <conditionalFormatting sqref="AH248:AX248">
    <cfRule type="expression" dxfId="2650" priority="122">
      <formula>AG$9&gt;=20/24</formula>
    </cfRule>
    <cfRule type="expression" dxfId="2649" priority="123">
      <formula>AND(AG$9&gt;=14/24,AG$9&lt;20/24)</formula>
    </cfRule>
    <cfRule type="expression" dxfId="2648" priority="125">
      <formula>AG$9&lt;8/24</formula>
    </cfRule>
    <cfRule type="expression" dxfId="2647" priority="124">
      <formula>AND(AG$9&gt;=8/24,AG$9&lt;14/24)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646" priority="131">
      <formula>AJ$9&gt;=20/24</formula>
    </cfRule>
    <cfRule type="expression" dxfId="2645" priority="132">
      <formula>AND(AJ$9&gt;=14/24,AJ$9&lt;20/24)</formula>
    </cfRule>
    <cfRule type="expression" dxfId="2644" priority="133">
      <formula>AND(AJ$9&gt;=8/24,AJ$9&lt;14/24)</formula>
    </cfRule>
    <cfRule type="expression" dxfId="2643" priority="134">
      <formula>AJ$9&lt;8/24</formula>
    </cfRule>
  </conditionalFormatting>
  <conditionalFormatting sqref="AL80:AN80 AL86:AN86">
    <cfRule type="expression" dxfId="2642" priority="72">
      <formula>AL$9&gt;=20/24</formula>
    </cfRule>
    <cfRule type="expression" dxfId="2641" priority="73">
      <formula>AND(AL$9&gt;=14/24,AL$9&lt;20/24)</formula>
    </cfRule>
    <cfRule type="expression" dxfId="2640" priority="74">
      <formula>AND(AL$9&gt;=8/24,AL$9&lt;14/24)</formula>
    </cfRule>
    <cfRule type="expression" dxfId="2639" priority="75">
      <formula>AL$9&lt;8/24</formula>
    </cfRule>
  </conditionalFormatting>
  <conditionalFormatting sqref="AN81:AN84">
    <cfRule type="expression" dxfId="2638" priority="69">
      <formula>AND(AN$9&gt;=14/24,AN$9&lt;20/24)</formula>
    </cfRule>
    <cfRule type="expression" dxfId="2637" priority="70">
      <formula>AND(AN$9&gt;=8/24,AN$9&lt;14/24)</formula>
    </cfRule>
    <cfRule type="expression" dxfId="2636" priority="71">
      <formula>AN$9&lt;8/24</formula>
    </cfRule>
    <cfRule type="expression" dxfId="2635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A0A7-B401-43A4-A6F1-ED6D088E1B99}">
  <sheetPr codeName="Sheet14"/>
  <dimension ref="A1:CJ281"/>
  <sheetViews>
    <sheetView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7" sqref="A7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.5703125" style="1" customWidth="1"/>
    <col min="12" max="12" width="6.85546875" style="1" customWidth="1"/>
    <col min="13" max="13" width="6.570312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2080/05/12</v>
      </c>
      <c r="C4" s="196"/>
      <c r="D4" s="196"/>
      <c r="E4" s="197" t="str">
        <f ca="1">"2080/"&amp;"05/"&amp;INT(MID(CELL("filename",G6),FIND("]",CELL("filename",G6))+1,200))</f>
        <v>2080/05/12</v>
      </c>
      <c r="F4" s="197"/>
      <c r="G4" s="197"/>
      <c r="H4" s="197" t="str">
        <f ca="1">TEXT(E4,"dddd")</f>
        <v>Sunday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5</v>
      </c>
      <c r="C5" s="30">
        <f t="shared" si="0"/>
        <v>2.6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1.5</v>
      </c>
      <c r="Z5" s="30">
        <f t="shared" si="0"/>
        <v>2.5</v>
      </c>
      <c r="AA5" s="30">
        <f t="shared" si="0"/>
        <v>9.9</v>
      </c>
      <c r="AB5" s="30">
        <f t="shared" si="0"/>
        <v>2.2000000000000002</v>
      </c>
      <c r="AC5" s="30">
        <f t="shared" si="0"/>
        <v>4</v>
      </c>
      <c r="AD5" s="30">
        <f t="shared" si="0"/>
        <v>8</v>
      </c>
      <c r="AE5" s="30">
        <f t="shared" si="0"/>
        <v>8</v>
      </c>
      <c r="AF5" s="30">
        <f>B84</f>
        <v>6.2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2026MW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Load=1919</v>
      </c>
      <c r="B7" s="35">
        <f t="shared" ref="B7:AF7" si="1">B91</f>
        <v>1941.64</v>
      </c>
      <c r="C7" s="35">
        <f t="shared" si="1"/>
        <v>1936.14</v>
      </c>
      <c r="D7" s="35">
        <f t="shared" si="1"/>
        <v>1943.1399999999999</v>
      </c>
      <c r="E7" s="35">
        <f t="shared" si="1"/>
        <v>1919.34</v>
      </c>
      <c r="F7" s="35">
        <f t="shared" si="1"/>
        <v>1921.54</v>
      </c>
      <c r="G7" s="35">
        <f t="shared" si="1"/>
        <v>1926.6399999999999</v>
      </c>
      <c r="H7" s="35">
        <f t="shared" si="1"/>
        <v>1946.8400000000001</v>
      </c>
      <c r="I7" s="35">
        <f t="shared" si="1"/>
        <v>1946.74</v>
      </c>
      <c r="J7" s="35">
        <f t="shared" si="1"/>
        <v>1972.2400000000002</v>
      </c>
      <c r="K7" s="35">
        <f t="shared" si="1"/>
        <v>2016.4400000000003</v>
      </c>
      <c r="L7" s="35">
        <f t="shared" si="1"/>
        <v>2012.6399999999999</v>
      </c>
      <c r="M7" s="35">
        <f t="shared" si="1"/>
        <v>2025.64</v>
      </c>
      <c r="N7" s="35">
        <f>N91</f>
        <v>2011.0400000000002</v>
      </c>
      <c r="O7" s="35">
        <f t="shared" si="1"/>
        <v>2000.44</v>
      </c>
      <c r="P7" s="35">
        <f t="shared" si="1"/>
        <v>2013.94</v>
      </c>
      <c r="Q7" s="35">
        <f t="shared" si="1"/>
        <v>2012.2400000000002</v>
      </c>
      <c r="R7" s="35">
        <f t="shared" si="1"/>
        <v>2020.7400000000002</v>
      </c>
      <c r="S7" s="35">
        <f t="shared" si="1"/>
        <v>2026.24</v>
      </c>
      <c r="T7" s="35">
        <f t="shared" si="1"/>
        <v>2050.14</v>
      </c>
      <c r="U7" s="35">
        <f t="shared" si="1"/>
        <v>2034.6399999999999</v>
      </c>
      <c r="V7" s="35">
        <f t="shared" si="1"/>
        <v>1984.54</v>
      </c>
      <c r="W7" s="35">
        <f t="shared" si="1"/>
        <v>1988.8400000000001</v>
      </c>
      <c r="X7" s="35">
        <f t="shared" si="1"/>
        <v>1994.24</v>
      </c>
      <c r="Y7" s="35">
        <f t="shared" si="1"/>
        <v>2043.8400000000001</v>
      </c>
      <c r="Z7" s="35">
        <f t="shared" si="1"/>
        <v>2114.94</v>
      </c>
      <c r="AA7" s="35">
        <f t="shared" si="1"/>
        <v>2156.7399999999998</v>
      </c>
      <c r="AB7" s="35">
        <f t="shared" si="1"/>
        <v>2125.84</v>
      </c>
      <c r="AC7" s="35">
        <f t="shared" si="1"/>
        <v>2102.7399999999998</v>
      </c>
      <c r="AD7" s="35">
        <f t="shared" si="1"/>
        <v>2045.04</v>
      </c>
      <c r="AE7" s="35">
        <f t="shared" si="1"/>
        <v>2005.3399999999997</v>
      </c>
      <c r="AF7" s="35">
        <f t="shared" si="1"/>
        <v>1968.5400000000002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89.9</v>
      </c>
      <c r="K11" s="45">
        <v>89.9</v>
      </c>
      <c r="L11" s="45">
        <v>89.9</v>
      </c>
      <c r="M11" s="45">
        <v>90.1</v>
      </c>
      <c r="N11" s="45">
        <v>90.1</v>
      </c>
      <c r="O11" s="45">
        <v>90.1</v>
      </c>
      <c r="P11" s="45">
        <v>90.1</v>
      </c>
      <c r="Q11" s="45">
        <v>90.1</v>
      </c>
      <c r="R11" s="45">
        <v>90.1</v>
      </c>
      <c r="S11" s="45">
        <v>90.2</v>
      </c>
      <c r="T11" s="45">
        <v>90.2</v>
      </c>
      <c r="U11" s="45">
        <v>90.2</v>
      </c>
      <c r="V11" s="45">
        <v>90.2</v>
      </c>
      <c r="W11" s="45">
        <v>89.9</v>
      </c>
      <c r="X11" s="45">
        <v>89.9</v>
      </c>
      <c r="Y11" s="45">
        <v>90.4</v>
      </c>
      <c r="Z11" s="45">
        <v>90.4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89.9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8</v>
      </c>
      <c r="J12" s="45">
        <v>8</v>
      </c>
      <c r="K12" s="45">
        <v>13</v>
      </c>
      <c r="L12" s="45">
        <v>8</v>
      </c>
      <c r="M12" s="45">
        <v>8</v>
      </c>
      <c r="N12" s="45">
        <v>8</v>
      </c>
      <c r="O12" s="45">
        <v>8</v>
      </c>
      <c r="P12" s="45">
        <v>8</v>
      </c>
      <c r="Q12" s="45">
        <v>8</v>
      </c>
      <c r="R12" s="45">
        <v>13</v>
      </c>
      <c r="S12" s="45">
        <v>8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13.5</v>
      </c>
      <c r="AA12" s="45">
        <v>13.5</v>
      </c>
      <c r="AB12" s="45">
        <v>13.5</v>
      </c>
      <c r="AC12" s="45">
        <v>13.5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13.5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54.7</v>
      </c>
      <c r="C13" s="45">
        <v>54.7</v>
      </c>
      <c r="D13" s="45">
        <v>54.7</v>
      </c>
      <c r="E13" s="45">
        <v>54.7</v>
      </c>
      <c r="F13" s="45">
        <v>54.7</v>
      </c>
      <c r="G13" s="45">
        <v>54.7</v>
      </c>
      <c r="H13" s="45">
        <v>54.7</v>
      </c>
      <c r="I13" s="45">
        <v>54.7</v>
      </c>
      <c r="J13" s="45">
        <v>54.7</v>
      </c>
      <c r="K13" s="45">
        <v>54.7</v>
      </c>
      <c r="L13" s="45">
        <v>54.7</v>
      </c>
      <c r="M13" s="45">
        <v>54.7</v>
      </c>
      <c r="N13" s="45">
        <v>54.7</v>
      </c>
      <c r="O13" s="45">
        <v>54.7</v>
      </c>
      <c r="P13" s="45">
        <v>54.7</v>
      </c>
      <c r="Q13" s="45">
        <v>54.7</v>
      </c>
      <c r="R13" s="45">
        <v>54.7</v>
      </c>
      <c r="S13" s="45">
        <v>54.8</v>
      </c>
      <c r="T13" s="45">
        <v>54.8</v>
      </c>
      <c r="U13" s="45">
        <v>54.8</v>
      </c>
      <c r="V13" s="45">
        <v>54.8</v>
      </c>
      <c r="W13" s="45">
        <v>54.8</v>
      </c>
      <c r="X13" s="45">
        <v>54.8</v>
      </c>
      <c r="Y13" s="45">
        <v>54.8</v>
      </c>
      <c r="Z13" s="45">
        <v>54.8</v>
      </c>
      <c r="AA13" s="45">
        <v>54.7</v>
      </c>
      <c r="AB13" s="45">
        <v>54.7</v>
      </c>
      <c r="AC13" s="45">
        <v>54.7</v>
      </c>
      <c r="AD13" s="45">
        <v>29.4</v>
      </c>
      <c r="AE13" s="45">
        <v>28.9</v>
      </c>
      <c r="AF13" s="45">
        <v>54.6</v>
      </c>
      <c r="AG13" s="46">
        <v>52.4</v>
      </c>
      <c r="AH13" s="47">
        <f t="shared" si="2"/>
        <v>54.8</v>
      </c>
      <c r="AI13" s="48">
        <f t="shared" si="3"/>
        <v>28.9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50.3</v>
      </c>
      <c r="C14" s="45">
        <v>50.3</v>
      </c>
      <c r="D14" s="45">
        <v>50.3</v>
      </c>
      <c r="E14" s="45">
        <v>50.3</v>
      </c>
      <c r="F14" s="45">
        <v>50.3</v>
      </c>
      <c r="G14" s="45">
        <v>50.3</v>
      </c>
      <c r="H14" s="45">
        <v>50.3</v>
      </c>
      <c r="I14" s="45">
        <v>50.3</v>
      </c>
      <c r="J14" s="45">
        <v>50.3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50.8</v>
      </c>
      <c r="T14" s="58">
        <v>50.8</v>
      </c>
      <c r="U14" s="58">
        <v>50.8</v>
      </c>
      <c r="V14" s="58">
        <v>50.8</v>
      </c>
      <c r="W14" s="58">
        <v>50.8</v>
      </c>
      <c r="X14" s="58">
        <v>50.8</v>
      </c>
      <c r="Y14" s="58">
        <v>50.8</v>
      </c>
      <c r="Z14" s="58">
        <v>50.8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50.4</v>
      </c>
      <c r="AG14" s="49">
        <v>50</v>
      </c>
      <c r="AH14" s="47">
        <f t="shared" si="2"/>
        <v>50.8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46.4</v>
      </c>
      <c r="C15" s="45">
        <v>46.4</v>
      </c>
      <c r="D15" s="45">
        <v>46.4</v>
      </c>
      <c r="E15" s="45">
        <v>39.200000000000003</v>
      </c>
      <c r="F15" s="45">
        <v>39.200000000000003</v>
      </c>
      <c r="G15" s="45">
        <v>39.200000000000003</v>
      </c>
      <c r="H15" s="45">
        <v>45.9</v>
      </c>
      <c r="I15" s="45">
        <v>45.9</v>
      </c>
      <c r="J15" s="45">
        <v>45.9</v>
      </c>
      <c r="K15" s="45">
        <v>45.9</v>
      </c>
      <c r="L15" s="45">
        <v>45.9</v>
      </c>
      <c r="M15" s="45">
        <v>46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</v>
      </c>
      <c r="T15" s="45">
        <v>46</v>
      </c>
      <c r="U15" s="45">
        <v>46</v>
      </c>
      <c r="V15" s="45">
        <v>37.299999999999997</v>
      </c>
      <c r="W15" s="45">
        <v>37.6</v>
      </c>
      <c r="X15" s="45">
        <v>37.6</v>
      </c>
      <c r="Y15" s="45">
        <v>37.6</v>
      </c>
      <c r="Z15" s="45">
        <v>46.1</v>
      </c>
      <c r="AA15" s="45">
        <v>45.9</v>
      </c>
      <c r="AB15" s="45">
        <v>46</v>
      </c>
      <c r="AC15" s="45">
        <v>46</v>
      </c>
      <c r="AD15" s="45">
        <v>46</v>
      </c>
      <c r="AE15" s="45">
        <v>39</v>
      </c>
      <c r="AF15" s="45">
        <v>39.200000000000003</v>
      </c>
      <c r="AG15" s="49">
        <v>45</v>
      </c>
      <c r="AH15" s="47">
        <f t="shared" si="2"/>
        <v>46.4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10</v>
      </c>
      <c r="C16" s="45">
        <v>10</v>
      </c>
      <c r="D16" s="45">
        <v>10</v>
      </c>
      <c r="E16" s="45">
        <v>5</v>
      </c>
      <c r="F16" s="45">
        <v>5</v>
      </c>
      <c r="G16" s="45">
        <v>5</v>
      </c>
      <c r="H16" s="45">
        <v>5</v>
      </c>
      <c r="I16" s="45">
        <v>5</v>
      </c>
      <c r="J16" s="45">
        <v>5</v>
      </c>
      <c r="K16" s="45">
        <v>10</v>
      </c>
      <c r="L16" s="45">
        <v>10</v>
      </c>
      <c r="M16" s="45">
        <v>10</v>
      </c>
      <c r="N16" s="45">
        <v>10</v>
      </c>
      <c r="O16" s="45">
        <v>10</v>
      </c>
      <c r="P16" s="45">
        <v>10</v>
      </c>
      <c r="Q16" s="45">
        <v>10</v>
      </c>
      <c r="R16" s="45">
        <v>10</v>
      </c>
      <c r="S16" s="45">
        <v>10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5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11</v>
      </c>
      <c r="C17" s="45">
        <v>11</v>
      </c>
      <c r="D17" s="45">
        <v>11</v>
      </c>
      <c r="E17" s="45">
        <v>11</v>
      </c>
      <c r="F17" s="45">
        <v>11</v>
      </c>
      <c r="G17" s="45">
        <v>11</v>
      </c>
      <c r="H17" s="45">
        <v>11</v>
      </c>
      <c r="I17" s="45">
        <v>11</v>
      </c>
      <c r="J17" s="45">
        <v>15</v>
      </c>
      <c r="K17" s="45">
        <v>15</v>
      </c>
      <c r="L17" s="45">
        <v>15</v>
      </c>
      <c r="M17" s="45">
        <v>16</v>
      </c>
      <c r="N17" s="45">
        <v>14</v>
      </c>
      <c r="O17" s="45">
        <v>14</v>
      </c>
      <c r="P17" s="45">
        <v>14</v>
      </c>
      <c r="Q17" s="45">
        <v>14</v>
      </c>
      <c r="R17" s="45">
        <v>14</v>
      </c>
      <c r="S17" s="45">
        <v>16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24</v>
      </c>
      <c r="AG17" s="49">
        <v>42</v>
      </c>
      <c r="AH17" s="47">
        <f t="shared" si="2"/>
        <v>28</v>
      </c>
      <c r="AI17" s="48">
        <f t="shared" si="3"/>
        <v>11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0</v>
      </c>
      <c r="J19" s="45">
        <v>0</v>
      </c>
      <c r="K19" s="45">
        <v>0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>
        <v>12.7</v>
      </c>
      <c r="K20" s="45">
        <v>15</v>
      </c>
      <c r="L20" s="45">
        <v>5</v>
      </c>
      <c r="M20" s="45">
        <v>5</v>
      </c>
      <c r="N20" s="45">
        <v>5</v>
      </c>
      <c r="O20" s="45">
        <v>5</v>
      </c>
      <c r="P20" s="45">
        <v>10</v>
      </c>
      <c r="Q20" s="45">
        <v>10</v>
      </c>
      <c r="R20" s="45">
        <v>10</v>
      </c>
      <c r="S20" s="45">
        <v>6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0</v>
      </c>
      <c r="Z20" s="45">
        <v>15.6</v>
      </c>
      <c r="AA20" s="45">
        <v>21.1</v>
      </c>
      <c r="AB20" s="45">
        <v>11.4</v>
      </c>
      <c r="AC20" s="45">
        <v>6</v>
      </c>
      <c r="AD20" s="45">
        <v>0</v>
      </c>
      <c r="AE20" s="45">
        <v>0</v>
      </c>
      <c r="AF20" s="45">
        <v>0</v>
      </c>
      <c r="AG20" s="51">
        <v>30</v>
      </c>
      <c r="AH20" s="47">
        <f t="shared" si="2"/>
        <v>21.1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</v>
      </c>
      <c r="C21" s="45">
        <v>21</v>
      </c>
      <c r="D21" s="45">
        <v>21</v>
      </c>
      <c r="E21" s="45">
        <v>21</v>
      </c>
      <c r="F21" s="45">
        <v>21</v>
      </c>
      <c r="G21" s="45">
        <v>21</v>
      </c>
      <c r="H21" s="45">
        <v>21</v>
      </c>
      <c r="I21" s="45">
        <v>21</v>
      </c>
      <c r="J21" s="45">
        <v>21</v>
      </c>
      <c r="K21" s="45">
        <v>27.1</v>
      </c>
      <c r="L21" s="45">
        <v>25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33</v>
      </c>
      <c r="S21" s="45">
        <v>29.9</v>
      </c>
      <c r="T21" s="45">
        <v>25.9</v>
      </c>
      <c r="U21" s="45">
        <v>25.9</v>
      </c>
      <c r="V21" s="45">
        <v>25.9</v>
      </c>
      <c r="W21" s="45">
        <v>25.9</v>
      </c>
      <c r="X21" s="45">
        <v>25.9</v>
      </c>
      <c r="Y21" s="45">
        <v>25.9</v>
      </c>
      <c r="Z21" s="45">
        <v>33</v>
      </c>
      <c r="AA21" s="45">
        <v>25.9</v>
      </c>
      <c r="AB21" s="45">
        <v>25.8</v>
      </c>
      <c r="AC21" s="45">
        <v>25.8</v>
      </c>
      <c r="AD21" s="45">
        <v>25.8</v>
      </c>
      <c r="AE21" s="45">
        <v>22.8</v>
      </c>
      <c r="AF21" s="45">
        <v>13</v>
      </c>
      <c r="AG21" s="49">
        <v>24.2</v>
      </c>
      <c r="AH21" s="47">
        <f t="shared" si="2"/>
        <v>33</v>
      </c>
      <c r="AI21" s="48">
        <f t="shared" si="3"/>
        <v>13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21</v>
      </c>
      <c r="C22" s="45">
        <v>21</v>
      </c>
      <c r="D22" s="45">
        <v>21</v>
      </c>
      <c r="E22" s="45">
        <v>21</v>
      </c>
      <c r="F22" s="45">
        <v>21</v>
      </c>
      <c r="G22" s="45">
        <v>21</v>
      </c>
      <c r="H22" s="45">
        <v>21</v>
      </c>
      <c r="I22" s="45">
        <v>21</v>
      </c>
      <c r="J22" s="45">
        <v>21</v>
      </c>
      <c r="K22" s="45">
        <v>28.5</v>
      </c>
      <c r="L22" s="45">
        <v>28.5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28.3</v>
      </c>
      <c r="T22" s="45">
        <v>28.3</v>
      </c>
      <c r="U22" s="45">
        <v>28.3</v>
      </c>
      <c r="V22" s="45">
        <v>28.3</v>
      </c>
      <c r="W22" s="45">
        <v>28.3</v>
      </c>
      <c r="X22" s="45">
        <v>28.3</v>
      </c>
      <c r="Y22" s="45">
        <v>28.3</v>
      </c>
      <c r="Z22" s="45">
        <v>28.3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20</v>
      </c>
      <c r="AG22" s="49">
        <v>28</v>
      </c>
      <c r="AH22" s="47">
        <f t="shared" si="2"/>
        <v>28.5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4.5</v>
      </c>
      <c r="J23" s="45">
        <v>10.8</v>
      </c>
      <c r="K23" s="45">
        <v>13.5</v>
      </c>
      <c r="L23" s="45">
        <v>4</v>
      </c>
      <c r="M23" s="45">
        <v>4</v>
      </c>
      <c r="N23" s="45">
        <v>4</v>
      </c>
      <c r="O23" s="45">
        <v>4</v>
      </c>
      <c r="P23" s="45">
        <v>4</v>
      </c>
      <c r="Q23" s="45">
        <v>4</v>
      </c>
      <c r="R23" s="45">
        <v>4</v>
      </c>
      <c r="S23" s="45">
        <v>4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14</v>
      </c>
      <c r="AA23" s="45">
        <v>18</v>
      </c>
      <c r="AB23" s="45">
        <v>9</v>
      </c>
      <c r="AC23" s="45">
        <v>4.5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18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10.3</v>
      </c>
      <c r="C24" s="45">
        <v>10.3</v>
      </c>
      <c r="D24" s="45">
        <v>10.3</v>
      </c>
      <c r="E24" s="45">
        <v>6</v>
      </c>
      <c r="F24" s="45">
        <v>6</v>
      </c>
      <c r="G24" s="45">
        <v>10</v>
      </c>
      <c r="H24" s="45">
        <v>10</v>
      </c>
      <c r="I24" s="45">
        <v>12</v>
      </c>
      <c r="J24" s="45">
        <v>12</v>
      </c>
      <c r="K24" s="45">
        <v>15</v>
      </c>
      <c r="L24" s="45">
        <v>15</v>
      </c>
      <c r="M24" s="45">
        <v>15</v>
      </c>
      <c r="N24" s="45">
        <v>14</v>
      </c>
      <c r="O24" s="45">
        <v>14</v>
      </c>
      <c r="P24" s="45">
        <v>14</v>
      </c>
      <c r="Q24" s="45">
        <v>14</v>
      </c>
      <c r="R24" s="45">
        <v>14</v>
      </c>
      <c r="S24" s="45">
        <v>15</v>
      </c>
      <c r="T24" s="45">
        <v>25</v>
      </c>
      <c r="U24" s="45">
        <v>25</v>
      </c>
      <c r="V24" s="45">
        <v>25</v>
      </c>
      <c r="W24" s="45">
        <v>25</v>
      </c>
      <c r="X24" s="45">
        <v>25</v>
      </c>
      <c r="Y24" s="45">
        <v>25</v>
      </c>
      <c r="Z24" s="45">
        <v>24.3</v>
      </c>
      <c r="AA24" s="45">
        <v>24.3</v>
      </c>
      <c r="AB24" s="45">
        <v>24.3</v>
      </c>
      <c r="AC24" s="45">
        <v>24.3</v>
      </c>
      <c r="AD24" s="45">
        <v>24.3</v>
      </c>
      <c r="AE24" s="45">
        <v>24.3</v>
      </c>
      <c r="AF24" s="45">
        <v>24.3</v>
      </c>
      <c r="AG24" s="49">
        <v>25</v>
      </c>
      <c r="AH24" s="47">
        <f t="shared" si="2"/>
        <v>25</v>
      </c>
      <c r="AI24" s="48">
        <f t="shared" si="3"/>
        <v>6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5</v>
      </c>
      <c r="J27" s="45">
        <v>10</v>
      </c>
      <c r="K27" s="45">
        <v>12.5</v>
      </c>
      <c r="L27" s="45">
        <v>12.5</v>
      </c>
      <c r="M27" s="45">
        <v>3.5</v>
      </c>
      <c r="N27" s="45">
        <v>3.5</v>
      </c>
      <c r="O27" s="45">
        <v>3.5</v>
      </c>
      <c r="P27" s="45">
        <v>3.5</v>
      </c>
      <c r="Q27" s="45">
        <v>3.5</v>
      </c>
      <c r="R27" s="45">
        <v>7</v>
      </c>
      <c r="S27" s="45">
        <v>3.5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12.5</v>
      </c>
      <c r="AA27" s="45">
        <v>16</v>
      </c>
      <c r="AB27" s="45">
        <v>8</v>
      </c>
      <c r="AC27" s="45">
        <v>4.5</v>
      </c>
      <c r="AD27" s="45">
        <v>0</v>
      </c>
      <c r="AE27" s="45">
        <v>0</v>
      </c>
      <c r="AF27" s="45">
        <v>0</v>
      </c>
      <c r="AG27" s="49">
        <v>25</v>
      </c>
      <c r="AH27" s="47">
        <f t="shared" si="2"/>
        <v>16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0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10</v>
      </c>
      <c r="AA33" s="45">
        <v>10</v>
      </c>
      <c r="AB33" s="45">
        <v>4</v>
      </c>
      <c r="AC33" s="45">
        <v>4</v>
      </c>
      <c r="AD33" s="45">
        <v>4</v>
      </c>
      <c r="AE33" s="45">
        <v>0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5</v>
      </c>
      <c r="AA34" s="45">
        <v>5</v>
      </c>
      <c r="AB34" s="45">
        <v>4</v>
      </c>
      <c r="AC34" s="45">
        <v>4</v>
      </c>
      <c r="AD34" s="45">
        <v>4</v>
      </c>
      <c r="AE34" s="45">
        <v>0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5</v>
      </c>
      <c r="C38" s="45">
        <v>5</v>
      </c>
      <c r="D38" s="45">
        <v>5</v>
      </c>
      <c r="E38" s="45">
        <v>5</v>
      </c>
      <c r="F38" s="45">
        <v>5</v>
      </c>
      <c r="G38" s="45">
        <v>5</v>
      </c>
      <c r="H38" s="45">
        <v>5</v>
      </c>
      <c r="I38" s="45">
        <v>5</v>
      </c>
      <c r="J38" s="45">
        <v>5</v>
      </c>
      <c r="K38" s="45">
        <v>5</v>
      </c>
      <c r="L38" s="45">
        <v>5</v>
      </c>
      <c r="M38" s="45">
        <v>5</v>
      </c>
      <c r="N38" s="45">
        <v>5</v>
      </c>
      <c r="O38" s="45">
        <v>5</v>
      </c>
      <c r="P38" s="45">
        <v>5</v>
      </c>
      <c r="Q38" s="45">
        <v>5</v>
      </c>
      <c r="R38" s="45">
        <v>5</v>
      </c>
      <c r="S38" s="45">
        <v>5</v>
      </c>
      <c r="T38" s="45">
        <v>5</v>
      </c>
      <c r="U38" s="45">
        <v>5</v>
      </c>
      <c r="V38" s="45">
        <v>5</v>
      </c>
      <c r="W38" s="45">
        <v>5</v>
      </c>
      <c r="X38" s="45">
        <v>5</v>
      </c>
      <c r="Y38" s="45">
        <v>5</v>
      </c>
      <c r="Z38" s="45">
        <v>5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5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2.4</v>
      </c>
      <c r="J39" s="45">
        <v>4.8</v>
      </c>
      <c r="K39" s="45">
        <v>6</v>
      </c>
      <c r="L39" s="45">
        <v>2.4</v>
      </c>
      <c r="M39" s="45">
        <v>2.4</v>
      </c>
      <c r="N39" s="45">
        <v>2.4</v>
      </c>
      <c r="O39" s="45">
        <v>2.4</v>
      </c>
      <c r="P39" s="45">
        <v>2.4</v>
      </c>
      <c r="Q39" s="45">
        <v>2.4</v>
      </c>
      <c r="R39" s="45">
        <v>2.4</v>
      </c>
      <c r="S39" s="45">
        <v>2.4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8</v>
      </c>
      <c r="AB39" s="45">
        <v>4</v>
      </c>
      <c r="AC39" s="45">
        <v>2</v>
      </c>
      <c r="AD39" s="45">
        <v>0</v>
      </c>
      <c r="AE39" s="45">
        <v>0</v>
      </c>
      <c r="AF39" s="45">
        <v>0</v>
      </c>
      <c r="AG39" s="49">
        <v>12</v>
      </c>
      <c r="AH39" s="47">
        <f t="shared" si="2"/>
        <v>8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4</v>
      </c>
      <c r="J41" s="45">
        <v>4</v>
      </c>
      <c r="K41" s="45">
        <v>7</v>
      </c>
      <c r="L41" s="45">
        <v>7</v>
      </c>
      <c r="M41" s="45">
        <v>7</v>
      </c>
      <c r="N41" s="45">
        <v>7</v>
      </c>
      <c r="O41" s="45">
        <v>7</v>
      </c>
      <c r="P41" s="45">
        <v>7</v>
      </c>
      <c r="Q41" s="45">
        <v>7</v>
      </c>
      <c r="R41" s="45">
        <v>7</v>
      </c>
      <c r="S41" s="45">
        <v>7</v>
      </c>
      <c r="T41" s="45">
        <v>7</v>
      </c>
      <c r="U41" s="45">
        <v>7</v>
      </c>
      <c r="V41" s="45">
        <v>7</v>
      </c>
      <c r="W41" s="45">
        <v>7</v>
      </c>
      <c r="X41" s="45">
        <v>7</v>
      </c>
      <c r="Y41" s="45">
        <v>7</v>
      </c>
      <c r="Z41" s="45">
        <v>7</v>
      </c>
      <c r="AA41" s="45">
        <v>7</v>
      </c>
      <c r="AB41" s="45">
        <v>7</v>
      </c>
      <c r="AC41" s="45">
        <v>7</v>
      </c>
      <c r="AD41" s="45">
        <v>7</v>
      </c>
      <c r="AE41" s="45">
        <v>7</v>
      </c>
      <c r="AF41" s="45">
        <v>0</v>
      </c>
      <c r="AG41" s="49">
        <v>12</v>
      </c>
      <c r="AH41" s="47">
        <f t="shared" si="2"/>
        <v>7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5</v>
      </c>
      <c r="C43" s="45">
        <v>5</v>
      </c>
      <c r="D43" s="45">
        <v>5</v>
      </c>
      <c r="E43" s="45">
        <v>5</v>
      </c>
      <c r="F43" s="45">
        <v>5</v>
      </c>
      <c r="G43" s="45">
        <v>5</v>
      </c>
      <c r="H43" s="45">
        <v>5</v>
      </c>
      <c r="I43" s="45">
        <v>5</v>
      </c>
      <c r="J43" s="45">
        <v>5</v>
      </c>
      <c r="K43" s="45">
        <v>5</v>
      </c>
      <c r="L43" s="45">
        <v>5</v>
      </c>
      <c r="M43" s="45">
        <v>5</v>
      </c>
      <c r="N43" s="45">
        <v>5</v>
      </c>
      <c r="O43" s="45">
        <v>5</v>
      </c>
      <c r="P43" s="45">
        <v>5</v>
      </c>
      <c r="Q43" s="45">
        <v>5</v>
      </c>
      <c r="R43" s="45">
        <v>5</v>
      </c>
      <c r="S43" s="45">
        <v>5</v>
      </c>
      <c r="T43" s="45">
        <v>5</v>
      </c>
      <c r="U43" s="45">
        <v>5</v>
      </c>
      <c r="V43" s="45">
        <v>5</v>
      </c>
      <c r="W43" s="45">
        <v>5</v>
      </c>
      <c r="X43" s="45">
        <v>5</v>
      </c>
      <c r="Y43" s="45">
        <v>5</v>
      </c>
      <c r="Z43" s="45">
        <v>5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5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4</v>
      </c>
      <c r="C45" s="45">
        <v>4</v>
      </c>
      <c r="D45" s="45">
        <v>4</v>
      </c>
      <c r="E45" s="45">
        <v>4</v>
      </c>
      <c r="F45" s="45">
        <v>4</v>
      </c>
      <c r="G45" s="45">
        <v>4</v>
      </c>
      <c r="H45" s="45">
        <v>4</v>
      </c>
      <c r="I45" s="45">
        <v>4</v>
      </c>
      <c r="J45" s="45">
        <v>4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4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421</v>
      </c>
      <c r="N48" s="56">
        <v>421</v>
      </c>
      <c r="O48" s="56">
        <v>421</v>
      </c>
      <c r="P48" s="56">
        <v>421</v>
      </c>
      <c r="Q48" s="56">
        <v>421</v>
      </c>
      <c r="R48" s="56">
        <v>421</v>
      </c>
      <c r="S48" s="56">
        <v>421</v>
      </c>
      <c r="T48" s="56">
        <v>421</v>
      </c>
      <c r="U48" s="56">
        <v>421</v>
      </c>
      <c r="V48" s="56">
        <v>421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421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f>29.5+81.5</f>
        <v>111</v>
      </c>
      <c r="C49" s="56">
        <f>29.6+81.6</f>
        <v>111.19999999999999</v>
      </c>
      <c r="D49" s="56">
        <f>22.7+76.1</f>
        <v>98.8</v>
      </c>
      <c r="E49" s="58">
        <f>81.6+29.4</f>
        <v>111</v>
      </c>
      <c r="F49" s="58">
        <f>81.6+29.5</f>
        <v>111.1</v>
      </c>
      <c r="G49" s="58">
        <f>80.7+29.3</f>
        <v>110</v>
      </c>
      <c r="H49" s="58">
        <f>80.9+29.3</f>
        <v>110.2</v>
      </c>
      <c r="I49" s="58">
        <f>78.8+26.6</f>
        <v>105.4</v>
      </c>
      <c r="J49" s="58">
        <f>80.7+29</f>
        <v>109.7</v>
      </c>
      <c r="K49" s="58">
        <f>79+28.6</f>
        <v>107.6</v>
      </c>
      <c r="L49" s="58">
        <f t="shared" ref="L49:S49" si="4">80.4+28.8</f>
        <v>109.2</v>
      </c>
      <c r="M49" s="58">
        <f t="shared" si="4"/>
        <v>109.2</v>
      </c>
      <c r="N49" s="58">
        <f t="shared" si="4"/>
        <v>109.2</v>
      </c>
      <c r="O49" s="58">
        <f t="shared" si="4"/>
        <v>109.2</v>
      </c>
      <c r="P49" s="58">
        <f t="shared" si="4"/>
        <v>109.2</v>
      </c>
      <c r="Q49" s="58">
        <f t="shared" si="4"/>
        <v>109.2</v>
      </c>
      <c r="R49" s="58">
        <f t="shared" si="4"/>
        <v>109.2</v>
      </c>
      <c r="S49" s="58">
        <f t="shared" si="4"/>
        <v>109.2</v>
      </c>
      <c r="T49" s="58">
        <f>21.3+72.5</f>
        <v>93.8</v>
      </c>
      <c r="U49" s="58">
        <f>21.3+72.5</f>
        <v>93.8</v>
      </c>
      <c r="V49" s="58">
        <f>21.3+72.5</f>
        <v>93.8</v>
      </c>
      <c r="W49" s="58">
        <v>103</v>
      </c>
      <c r="X49" s="58">
        <v>103</v>
      </c>
      <c r="Y49" s="58">
        <v>103</v>
      </c>
      <c r="Z49" s="58">
        <v>103</v>
      </c>
      <c r="AA49" s="56">
        <v>103</v>
      </c>
      <c r="AB49" s="56">
        <f>76.3+25.5</f>
        <v>101.8</v>
      </c>
      <c r="AC49" s="56">
        <f>29.4+79.5</f>
        <v>108.9</v>
      </c>
      <c r="AD49" s="56">
        <f>80.4+29.5</f>
        <v>109.9</v>
      </c>
      <c r="AE49" s="56">
        <f>81.4+30.2</f>
        <v>111.60000000000001</v>
      </c>
      <c r="AF49" s="56">
        <f>81.5+30</f>
        <v>111.5</v>
      </c>
      <c r="AG49" s="54">
        <v>240</v>
      </c>
      <c r="AH49" s="47">
        <f t="shared" si="2"/>
        <v>111.60000000000001</v>
      </c>
      <c r="AI49" s="48">
        <f t="shared" si="3"/>
        <v>93.8</v>
      </c>
      <c r="AK49" s="50"/>
    </row>
    <row r="50" spans="1:41" ht="15.75" thickBot="1" x14ac:dyDescent="0.3">
      <c r="A50" s="59" t="s">
        <v>58</v>
      </c>
      <c r="B50" s="60">
        <f>SUM(B11:B48)</f>
        <v>1008.3000000000001</v>
      </c>
      <c r="C50" s="60">
        <f>SUM(C11:C48)</f>
        <v>1008.3000000000001</v>
      </c>
      <c r="D50" s="60">
        <f>SUM(D11:D48)</f>
        <v>1008.3000000000001</v>
      </c>
      <c r="E50" s="60">
        <f t="shared" ref="E50:AF50" si="5">SUM(E11:E48)</f>
        <v>991.7</v>
      </c>
      <c r="F50" s="60">
        <f t="shared" si="5"/>
        <v>991.7</v>
      </c>
      <c r="G50" s="60">
        <f t="shared" si="5"/>
        <v>995.7</v>
      </c>
      <c r="H50" s="60">
        <f t="shared" si="5"/>
        <v>1002.4000000000001</v>
      </c>
      <c r="I50" s="60">
        <f t="shared" si="5"/>
        <v>997.30000000000007</v>
      </c>
      <c r="J50" s="60">
        <f t="shared" si="5"/>
        <v>1022.4000000000001</v>
      </c>
      <c r="K50" s="60">
        <f t="shared" si="5"/>
        <v>1066.9000000000001</v>
      </c>
      <c r="L50" s="60">
        <f t="shared" si="5"/>
        <v>1072.6999999999998</v>
      </c>
      <c r="M50" s="60">
        <f t="shared" si="5"/>
        <v>1073.5</v>
      </c>
      <c r="N50" s="60">
        <f t="shared" si="5"/>
        <v>1070.5</v>
      </c>
      <c r="O50" s="60">
        <f t="shared" si="5"/>
        <v>1070.5</v>
      </c>
      <c r="P50" s="60">
        <f t="shared" si="5"/>
        <v>1075.5</v>
      </c>
      <c r="Q50" s="60">
        <f t="shared" si="5"/>
        <v>1075.5</v>
      </c>
      <c r="R50" s="60">
        <f t="shared" si="5"/>
        <v>1084</v>
      </c>
      <c r="S50" s="60">
        <f t="shared" si="5"/>
        <v>1072.1999999999998</v>
      </c>
      <c r="T50" s="60">
        <f t="shared" si="5"/>
        <v>1100.3</v>
      </c>
      <c r="U50" s="60">
        <f t="shared" si="5"/>
        <v>1100.3</v>
      </c>
      <c r="V50" s="60">
        <f t="shared" si="5"/>
        <v>1091.5999999999999</v>
      </c>
      <c r="W50" s="60">
        <f t="shared" si="5"/>
        <v>1090.5999999999999</v>
      </c>
      <c r="X50" s="60">
        <f t="shared" si="5"/>
        <v>1090.5999999999999</v>
      </c>
      <c r="Y50" s="60">
        <f t="shared" si="5"/>
        <v>1091.0999999999999</v>
      </c>
      <c r="Z50" s="60">
        <f t="shared" si="5"/>
        <v>1151.8000000000002</v>
      </c>
      <c r="AA50" s="60">
        <f t="shared" si="5"/>
        <v>1201.5</v>
      </c>
      <c r="AB50" s="60">
        <f t="shared" si="5"/>
        <v>1163.8</v>
      </c>
      <c r="AC50" s="60">
        <f t="shared" si="5"/>
        <v>1148.4000000000001</v>
      </c>
      <c r="AD50" s="60">
        <f t="shared" si="5"/>
        <v>1092.5999999999999</v>
      </c>
      <c r="AE50" s="60">
        <f t="shared" si="5"/>
        <v>1074.0999999999999</v>
      </c>
      <c r="AF50" s="60">
        <f t="shared" si="5"/>
        <v>1070.8</v>
      </c>
      <c r="AG50" s="61">
        <f>SUM(AG13:AG48)</f>
        <v>922.14</v>
      </c>
      <c r="AH50" s="47">
        <f t="shared" si="2"/>
        <v>1201.5</v>
      </c>
      <c r="AI50" s="48">
        <f t="shared" si="3"/>
        <v>991.7</v>
      </c>
      <c r="AK50" s="50"/>
    </row>
    <row r="51" spans="1:41" x14ac:dyDescent="0.25">
      <c r="A51" s="62" t="s">
        <v>59</v>
      </c>
      <c r="B51" s="175">
        <v>456</v>
      </c>
      <c r="C51" s="175">
        <v>456</v>
      </c>
      <c r="D51" s="175">
        <v>456</v>
      </c>
      <c r="E51" s="175">
        <v>456</v>
      </c>
      <c r="F51" s="175">
        <v>456</v>
      </c>
      <c r="G51" s="175">
        <v>456</v>
      </c>
      <c r="H51" s="175">
        <v>456</v>
      </c>
      <c r="I51" s="17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20.100000000000001</v>
      </c>
      <c r="AA53" s="66">
        <v>20.100000000000001</v>
      </c>
      <c r="AB53" s="66">
        <v>20.100000000000001</v>
      </c>
      <c r="AC53" s="66">
        <v>20.100000000000001</v>
      </c>
      <c r="AD53" s="66">
        <v>20.100000000000001</v>
      </c>
      <c r="AE53" s="66">
        <v>20.100000000000001</v>
      </c>
      <c r="AF53" s="66">
        <v>20.100000000000001</v>
      </c>
      <c r="AG53" s="67">
        <v>22.1</v>
      </c>
      <c r="AH53" s="47">
        <f t="shared" si="2"/>
        <v>22.4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f>SUM(B51:B53)</f>
        <v>533.4</v>
      </c>
      <c r="C54" s="60">
        <f>SUM(C51:C53)</f>
        <v>533.4</v>
      </c>
      <c r="D54" s="60">
        <f>SUM(D51:D53)</f>
        <v>533.4</v>
      </c>
      <c r="E54" s="60">
        <f t="shared" ref="E54:AG54" si="6">SUM(E51:E53)</f>
        <v>533.4</v>
      </c>
      <c r="F54" s="60">
        <f t="shared" si="6"/>
        <v>533.4</v>
      </c>
      <c r="G54" s="60">
        <f t="shared" si="6"/>
        <v>533.4</v>
      </c>
      <c r="H54" s="60">
        <f t="shared" si="6"/>
        <v>533.4</v>
      </c>
      <c r="I54" s="60">
        <f t="shared" si="6"/>
        <v>538.4</v>
      </c>
      <c r="J54" s="60">
        <f t="shared" si="6"/>
        <v>538.4</v>
      </c>
      <c r="K54" s="60">
        <f t="shared" si="6"/>
        <v>538.4</v>
      </c>
      <c r="L54" s="60">
        <f t="shared" si="6"/>
        <v>538.4</v>
      </c>
      <c r="M54" s="60">
        <f t="shared" si="6"/>
        <v>538.4</v>
      </c>
      <c r="N54" s="60">
        <f t="shared" si="6"/>
        <v>538.4</v>
      </c>
      <c r="O54" s="60">
        <f t="shared" si="6"/>
        <v>538.4</v>
      </c>
      <c r="P54" s="60">
        <f t="shared" si="6"/>
        <v>538.4</v>
      </c>
      <c r="Q54" s="60">
        <f t="shared" si="6"/>
        <v>538.4</v>
      </c>
      <c r="R54" s="60">
        <f t="shared" si="6"/>
        <v>538.4</v>
      </c>
      <c r="S54" s="60">
        <f t="shared" si="6"/>
        <v>538.4</v>
      </c>
      <c r="T54" s="60">
        <f t="shared" si="6"/>
        <v>538.4</v>
      </c>
      <c r="U54" s="60">
        <f t="shared" si="6"/>
        <v>538.4</v>
      </c>
      <c r="V54" s="60">
        <f t="shared" si="6"/>
        <v>538.4</v>
      </c>
      <c r="W54" s="60">
        <f t="shared" si="6"/>
        <v>538.4</v>
      </c>
      <c r="X54" s="60">
        <f t="shared" si="6"/>
        <v>538.4</v>
      </c>
      <c r="Y54" s="60">
        <f t="shared" si="6"/>
        <v>538.4</v>
      </c>
      <c r="Z54" s="60">
        <f t="shared" si="6"/>
        <v>536.1</v>
      </c>
      <c r="AA54" s="60">
        <f t="shared" si="6"/>
        <v>536.1</v>
      </c>
      <c r="AB54" s="60">
        <f t="shared" si="6"/>
        <v>536.1</v>
      </c>
      <c r="AC54" s="60">
        <f t="shared" si="6"/>
        <v>536.1</v>
      </c>
      <c r="AD54" s="60">
        <f t="shared" si="6"/>
        <v>536.1</v>
      </c>
      <c r="AE54" s="60">
        <f t="shared" si="6"/>
        <v>536.1</v>
      </c>
      <c r="AF54" s="60">
        <f t="shared" si="6"/>
        <v>526.1</v>
      </c>
      <c r="AG54" s="61">
        <f t="shared" si="6"/>
        <v>538.1</v>
      </c>
      <c r="AH54" s="47">
        <f t="shared" si="2"/>
        <v>538.4</v>
      </c>
      <c r="AI54" s="48">
        <f t="shared" si="3"/>
        <v>526.1</v>
      </c>
      <c r="AK54" s="50"/>
    </row>
    <row r="55" spans="1:41" x14ac:dyDescent="0.25">
      <c r="A55" s="44" t="s">
        <v>63</v>
      </c>
      <c r="B55" s="45">
        <v>135.19999999999999</v>
      </c>
      <c r="C55" s="45">
        <v>135.19999999999999</v>
      </c>
      <c r="D55" s="45">
        <v>134.6</v>
      </c>
      <c r="E55" s="45">
        <v>134.6</v>
      </c>
      <c r="F55" s="45">
        <v>134.6</v>
      </c>
      <c r="G55" s="45">
        <v>134.6</v>
      </c>
      <c r="H55" s="45">
        <v>134.6</v>
      </c>
      <c r="I55" s="45">
        <v>134.6</v>
      </c>
      <c r="J55" s="45">
        <v>135.4</v>
      </c>
      <c r="K55" s="45">
        <v>135.4</v>
      </c>
      <c r="L55" s="45">
        <v>135.4</v>
      </c>
      <c r="M55" s="45">
        <v>134.80000000000001</v>
      </c>
      <c r="N55" s="45">
        <v>134.80000000000001</v>
      </c>
      <c r="O55" s="45">
        <v>134.69999999999999</v>
      </c>
      <c r="P55" s="45">
        <v>134.69999999999999</v>
      </c>
      <c r="Q55" s="45">
        <v>134.69999999999999</v>
      </c>
      <c r="R55" s="45">
        <v>134.69999999999999</v>
      </c>
      <c r="S55" s="45">
        <v>133.6</v>
      </c>
      <c r="T55" s="45">
        <v>129.6</v>
      </c>
      <c r="U55" s="45">
        <v>121.4</v>
      </c>
      <c r="V55" s="45">
        <v>121.4</v>
      </c>
      <c r="W55" s="45">
        <v>121.4</v>
      </c>
      <c r="X55" s="45">
        <v>121.4</v>
      </c>
      <c r="Y55" s="45">
        <v>121.4</v>
      </c>
      <c r="Z55" s="45">
        <v>135</v>
      </c>
      <c r="AA55" s="45">
        <v>135</v>
      </c>
      <c r="AB55" s="45">
        <v>135</v>
      </c>
      <c r="AC55" s="45">
        <v>135</v>
      </c>
      <c r="AD55" s="45">
        <v>135</v>
      </c>
      <c r="AE55" s="45">
        <v>135</v>
      </c>
      <c r="AF55" s="45">
        <v>115.4</v>
      </c>
      <c r="AG55" s="51">
        <v>144</v>
      </c>
      <c r="AH55" s="47">
        <f t="shared" si="2"/>
        <v>135.4</v>
      </c>
      <c r="AI55" s="48">
        <f t="shared" si="3"/>
        <v>115.4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70</v>
      </c>
      <c r="E56" s="64">
        <v>70</v>
      </c>
      <c r="F56" s="64">
        <v>70.5</v>
      </c>
      <c r="G56" s="64">
        <v>71.5</v>
      </c>
      <c r="H56" s="64">
        <v>71.5</v>
      </c>
      <c r="I56" s="64">
        <v>71.5</v>
      </c>
      <c r="J56" s="64">
        <v>71.900000000000006</v>
      </c>
      <c r="K56" s="64">
        <v>70.099999999999994</v>
      </c>
      <c r="L56" s="64">
        <v>70.099999999999994</v>
      </c>
      <c r="M56" s="64">
        <v>71.099999999999994</v>
      </c>
      <c r="N56" s="64">
        <v>64.8</v>
      </c>
      <c r="O56" s="64">
        <v>70.5</v>
      </c>
      <c r="P56" s="64">
        <v>70.5</v>
      </c>
      <c r="Q56" s="64">
        <v>55</v>
      </c>
      <c r="R56" s="64">
        <v>55</v>
      </c>
      <c r="S56" s="45">
        <v>70.2</v>
      </c>
      <c r="T56" s="45">
        <v>70</v>
      </c>
      <c r="U56" s="45">
        <v>69.400000000000006</v>
      </c>
      <c r="V56" s="45">
        <v>59</v>
      </c>
      <c r="W56" s="45">
        <v>59</v>
      </c>
      <c r="X56" s="45">
        <v>62.4</v>
      </c>
      <c r="Y56" s="45">
        <v>65.099999999999994</v>
      </c>
      <c r="Z56" s="45">
        <v>70.2</v>
      </c>
      <c r="AA56" s="45">
        <v>70.2</v>
      </c>
      <c r="AB56" s="45">
        <v>69.599999999999994</v>
      </c>
      <c r="AC56" s="45">
        <v>69.599999999999994</v>
      </c>
      <c r="AD56" s="45">
        <v>69.599999999999994</v>
      </c>
      <c r="AE56" s="45">
        <v>61.2</v>
      </c>
      <c r="AF56" s="45">
        <v>50.7</v>
      </c>
      <c r="AG56" s="54">
        <v>70</v>
      </c>
      <c r="AH56" s="47">
        <f t="shared" si="2"/>
        <v>71.900000000000006</v>
      </c>
      <c r="AI56" s="48">
        <f t="shared" si="3"/>
        <v>50.7</v>
      </c>
      <c r="AK56" s="50"/>
    </row>
    <row r="57" spans="1:41" x14ac:dyDescent="0.25">
      <c r="A57" s="53" t="s">
        <v>65</v>
      </c>
      <c r="B57" s="64">
        <v>63.5</v>
      </c>
      <c r="C57" s="64">
        <v>63.8</v>
      </c>
      <c r="D57" s="64">
        <v>63.9</v>
      </c>
      <c r="E57" s="64">
        <v>48.3</v>
      </c>
      <c r="F57" s="64">
        <v>50</v>
      </c>
      <c r="G57" s="64">
        <v>60.6</v>
      </c>
      <c r="H57" s="64">
        <v>63.3</v>
      </c>
      <c r="I57" s="64">
        <v>63.3</v>
      </c>
      <c r="J57" s="64">
        <v>62.3</v>
      </c>
      <c r="K57" s="64">
        <v>62.3</v>
      </c>
      <c r="L57" s="64">
        <v>62.3</v>
      </c>
      <c r="M57" s="64">
        <v>63.2</v>
      </c>
      <c r="N57" s="64">
        <v>63.1</v>
      </c>
      <c r="O57" s="64">
        <v>51</v>
      </c>
      <c r="P57" s="64">
        <v>61</v>
      </c>
      <c r="Q57" s="64">
        <v>63.8</v>
      </c>
      <c r="R57" s="64">
        <v>63.8</v>
      </c>
      <c r="S57" s="45">
        <v>60.6</v>
      </c>
      <c r="T57" s="45">
        <v>60.6</v>
      </c>
      <c r="U57" s="45">
        <v>61</v>
      </c>
      <c r="V57" s="45">
        <v>53.6</v>
      </c>
      <c r="W57" s="45">
        <v>64.2</v>
      </c>
      <c r="X57" s="45">
        <v>61.2</v>
      </c>
      <c r="Y57" s="45">
        <v>63</v>
      </c>
      <c r="Z57" s="45">
        <v>64.099999999999994</v>
      </c>
      <c r="AA57" s="45">
        <v>62.8</v>
      </c>
      <c r="AB57" s="45">
        <v>62.8</v>
      </c>
      <c r="AC57" s="45">
        <v>62.8</v>
      </c>
      <c r="AD57" s="45">
        <v>60.5</v>
      </c>
      <c r="AE57" s="45">
        <v>64.599999999999994</v>
      </c>
      <c r="AF57" s="45">
        <v>60.6</v>
      </c>
      <c r="AG57" s="54">
        <v>69</v>
      </c>
      <c r="AH57" s="47">
        <f t="shared" si="2"/>
        <v>64.599999999999994</v>
      </c>
      <c r="AI57" s="48">
        <f t="shared" si="3"/>
        <v>48.3</v>
      </c>
      <c r="AK57" s="50"/>
    </row>
    <row r="58" spans="1:41" x14ac:dyDescent="0.25">
      <c r="A58" s="53" t="s">
        <v>66</v>
      </c>
      <c r="B58" s="64">
        <v>55</v>
      </c>
      <c r="C58" s="64">
        <v>50.4</v>
      </c>
      <c r="D58" s="64">
        <v>49.9</v>
      </c>
      <c r="E58" s="64">
        <v>60.9</v>
      </c>
      <c r="F58" s="64">
        <v>60.9</v>
      </c>
      <c r="G58" s="64">
        <v>50.4</v>
      </c>
      <c r="H58" s="64">
        <v>61.2</v>
      </c>
      <c r="I58" s="64">
        <v>61.2</v>
      </c>
      <c r="J58" s="56">
        <v>61.2</v>
      </c>
      <c r="K58" s="56">
        <v>61.2</v>
      </c>
      <c r="L58" s="56">
        <v>51.6</v>
      </c>
      <c r="M58" s="64">
        <v>61.2</v>
      </c>
      <c r="N58" s="64">
        <v>56</v>
      </c>
      <c r="O58" s="64">
        <v>51.9</v>
      </c>
      <c r="P58" s="64">
        <v>50.4</v>
      </c>
      <c r="Q58" s="64">
        <v>61.4</v>
      </c>
      <c r="R58" s="64">
        <v>61.4</v>
      </c>
      <c r="S58" s="45">
        <v>60.7</v>
      </c>
      <c r="T58" s="45">
        <v>60.7</v>
      </c>
      <c r="U58" s="45">
        <v>50.9</v>
      </c>
      <c r="V58" s="45">
        <v>40.299999999999997</v>
      </c>
      <c r="W58" s="45">
        <v>40.299999999999997</v>
      </c>
      <c r="X58" s="45">
        <v>40.299999999999997</v>
      </c>
      <c r="Y58" s="45">
        <v>63</v>
      </c>
      <c r="Z58" s="45">
        <v>62</v>
      </c>
      <c r="AA58" s="45">
        <v>62.3</v>
      </c>
      <c r="AB58" s="45">
        <v>62.3</v>
      </c>
      <c r="AC58" s="45">
        <v>62.3</v>
      </c>
      <c r="AD58" s="45">
        <v>60.9</v>
      </c>
      <c r="AE58" s="45">
        <v>40</v>
      </c>
      <c r="AF58" s="45">
        <v>50.6</v>
      </c>
      <c r="AG58" s="54">
        <v>60</v>
      </c>
      <c r="AH58" s="47">
        <f t="shared" si="2"/>
        <v>63</v>
      </c>
      <c r="AI58" s="48">
        <f t="shared" si="3"/>
        <v>40</v>
      </c>
      <c r="AK58" s="50"/>
    </row>
    <row r="59" spans="1:41" x14ac:dyDescent="0.25">
      <c r="A59" s="53" t="s">
        <v>67</v>
      </c>
      <c r="B59" s="64">
        <v>27</v>
      </c>
      <c r="C59" s="64">
        <v>27</v>
      </c>
      <c r="D59" s="64">
        <v>27</v>
      </c>
      <c r="E59" s="64">
        <v>27</v>
      </c>
      <c r="F59" s="64">
        <v>27</v>
      </c>
      <c r="G59" s="64">
        <v>27</v>
      </c>
      <c r="H59" s="64">
        <v>27</v>
      </c>
      <c r="I59" s="64">
        <v>27</v>
      </c>
      <c r="J59" s="64">
        <v>27</v>
      </c>
      <c r="K59" s="56">
        <v>28</v>
      </c>
      <c r="L59" s="56">
        <v>28</v>
      </c>
      <c r="M59" s="56">
        <v>28</v>
      </c>
      <c r="N59" s="56">
        <v>28</v>
      </c>
      <c r="O59" s="56">
        <v>28</v>
      </c>
      <c r="P59" s="56">
        <v>28</v>
      </c>
      <c r="Q59" s="56">
        <v>28</v>
      </c>
      <c r="R59" s="56">
        <v>28</v>
      </c>
      <c r="S59" s="45">
        <v>28</v>
      </c>
      <c r="T59" s="45">
        <v>28</v>
      </c>
      <c r="U59" s="45">
        <v>28</v>
      </c>
      <c r="V59" s="45">
        <v>28</v>
      </c>
      <c r="W59" s="45">
        <v>28</v>
      </c>
      <c r="X59" s="45">
        <v>28</v>
      </c>
      <c r="Y59" s="45">
        <v>28</v>
      </c>
      <c r="Z59" s="45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27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64">
        <v>0.2</v>
      </c>
      <c r="K60" s="64">
        <v>0.7</v>
      </c>
      <c r="L60" s="64">
        <v>0.7</v>
      </c>
      <c r="M60" s="64">
        <v>2</v>
      </c>
      <c r="N60" s="64">
        <v>2</v>
      </c>
      <c r="O60" s="64">
        <v>2</v>
      </c>
      <c r="P60" s="64">
        <v>2</v>
      </c>
      <c r="Q60" s="64">
        <v>2</v>
      </c>
      <c r="R60" s="64">
        <v>2</v>
      </c>
      <c r="S60" s="45">
        <v>5.3</v>
      </c>
      <c r="T60" s="45">
        <v>5.3</v>
      </c>
      <c r="U60" s="45">
        <v>8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12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5.6</v>
      </c>
      <c r="C62" s="64">
        <v>5.6</v>
      </c>
      <c r="D62" s="64">
        <v>5.6</v>
      </c>
      <c r="E62" s="64">
        <v>5.6</v>
      </c>
      <c r="F62" s="64">
        <v>5.6</v>
      </c>
      <c r="G62" s="64">
        <v>5.6</v>
      </c>
      <c r="H62" s="64">
        <v>5.6</v>
      </c>
      <c r="I62" s="64">
        <v>5.6</v>
      </c>
      <c r="J62" s="64">
        <v>5.6</v>
      </c>
      <c r="K62" s="64">
        <v>5.6</v>
      </c>
      <c r="L62" s="64">
        <v>5.6</v>
      </c>
      <c r="M62" s="64">
        <v>5.6</v>
      </c>
      <c r="N62" s="64">
        <v>5.6</v>
      </c>
      <c r="O62" s="64">
        <v>5.6</v>
      </c>
      <c r="P62" s="64">
        <v>5.6</v>
      </c>
      <c r="Q62" s="64">
        <v>5.6</v>
      </c>
      <c r="R62" s="64">
        <v>5.6</v>
      </c>
      <c r="S62" s="64">
        <v>5</v>
      </c>
      <c r="T62" s="64">
        <v>5</v>
      </c>
      <c r="U62" s="64">
        <v>5</v>
      </c>
      <c r="V62" s="64">
        <v>0</v>
      </c>
      <c r="W62" s="64">
        <v>0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5.6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</v>
      </c>
      <c r="C63" s="64">
        <v>9</v>
      </c>
      <c r="D63" s="64">
        <v>9.1</v>
      </c>
      <c r="E63" s="64">
        <v>9.1</v>
      </c>
      <c r="F63" s="64">
        <v>9.1</v>
      </c>
      <c r="G63" s="64">
        <v>9.1</v>
      </c>
      <c r="H63" s="64">
        <v>9.1</v>
      </c>
      <c r="I63" s="64">
        <v>9.1</v>
      </c>
      <c r="J63" s="64">
        <v>9.1</v>
      </c>
      <c r="K63" s="64">
        <v>9.1</v>
      </c>
      <c r="L63" s="64">
        <v>9.1</v>
      </c>
      <c r="M63" s="64">
        <v>9.1</v>
      </c>
      <c r="N63" s="64">
        <v>9.1</v>
      </c>
      <c r="O63" s="64">
        <v>9.1</v>
      </c>
      <c r="P63" s="64">
        <v>9.1</v>
      </c>
      <c r="Q63" s="64">
        <v>9.1</v>
      </c>
      <c r="R63" s="64">
        <v>9.1</v>
      </c>
      <c r="S63" s="64">
        <v>7.7</v>
      </c>
      <c r="T63" s="64">
        <v>7.7</v>
      </c>
      <c r="U63" s="64">
        <v>7.7</v>
      </c>
      <c r="V63" s="64">
        <v>7.7</v>
      </c>
      <c r="W63" s="64">
        <v>7.7</v>
      </c>
      <c r="X63" s="64">
        <v>7.7</v>
      </c>
      <c r="Y63" s="64">
        <v>7.7</v>
      </c>
      <c r="Z63" s="64">
        <v>9.1</v>
      </c>
      <c r="AA63" s="64">
        <v>9.1</v>
      </c>
      <c r="AB63" s="64">
        <v>9.1</v>
      </c>
      <c r="AC63" s="64">
        <v>9.1</v>
      </c>
      <c r="AD63" s="64">
        <v>9.1</v>
      </c>
      <c r="AE63" s="64">
        <v>9.1</v>
      </c>
      <c r="AF63" s="64">
        <v>9.1</v>
      </c>
      <c r="AG63" s="54">
        <v>14.1</v>
      </c>
      <c r="AH63" s="47">
        <f t="shared" si="2"/>
        <v>9.1</v>
      </c>
      <c r="AI63" s="48">
        <f t="shared" si="3"/>
        <v>7.7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7.7</v>
      </c>
      <c r="C64" s="64">
        <v>7.7</v>
      </c>
      <c r="D64" s="64">
        <v>8</v>
      </c>
      <c r="E64" s="64">
        <v>8</v>
      </c>
      <c r="F64" s="64">
        <v>8</v>
      </c>
      <c r="G64" s="64">
        <v>8</v>
      </c>
      <c r="H64" s="64">
        <v>8</v>
      </c>
      <c r="I64" s="64">
        <v>8</v>
      </c>
      <c r="J64" s="64">
        <v>8</v>
      </c>
      <c r="K64" s="64">
        <v>8</v>
      </c>
      <c r="L64" s="64">
        <v>8</v>
      </c>
      <c r="M64" s="64">
        <v>8</v>
      </c>
      <c r="N64" s="64">
        <v>8</v>
      </c>
      <c r="O64" s="64">
        <v>8</v>
      </c>
      <c r="P64" s="64">
        <v>8</v>
      </c>
      <c r="Q64" s="64">
        <v>8</v>
      </c>
      <c r="R64" s="64">
        <v>8</v>
      </c>
      <c r="S64" s="64">
        <v>13.8</v>
      </c>
      <c r="T64" s="64">
        <v>13.8</v>
      </c>
      <c r="U64" s="64">
        <v>13.8</v>
      </c>
      <c r="V64" s="64">
        <v>13.8</v>
      </c>
      <c r="W64" s="64">
        <v>8.5</v>
      </c>
      <c r="X64" s="64">
        <v>8.5</v>
      </c>
      <c r="Y64" s="64">
        <v>8.5</v>
      </c>
      <c r="Z64" s="64">
        <v>13.5</v>
      </c>
      <c r="AA64" s="64">
        <v>13.5</v>
      </c>
      <c r="AB64" s="64">
        <v>13.5</v>
      </c>
      <c r="AC64" s="64">
        <v>13.5</v>
      </c>
      <c r="AD64" s="64">
        <v>13.5</v>
      </c>
      <c r="AE64" s="64">
        <v>13.5</v>
      </c>
      <c r="AF64" s="64">
        <v>13.5</v>
      </c>
      <c r="AG64" s="54">
        <v>14</v>
      </c>
      <c r="AH64" s="47">
        <f t="shared" si="2"/>
        <v>13.8</v>
      </c>
      <c r="AI64" s="48">
        <f t="shared" si="3"/>
        <v>7.7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393.74</v>
      </c>
      <c r="C68" s="60">
        <f>SUM(C55:C67)</f>
        <v>389.44</v>
      </c>
      <c r="D68" s="60">
        <f>SUM(D55:D67)</f>
        <v>398.84000000000003</v>
      </c>
      <c r="E68" s="60">
        <f t="shared" ref="E68:AG68" si="7">SUM(E55:E67)</f>
        <v>394.24</v>
      </c>
      <c r="F68" s="60">
        <f t="shared" si="7"/>
        <v>396.44000000000005</v>
      </c>
      <c r="G68" s="60">
        <f t="shared" si="7"/>
        <v>397.54</v>
      </c>
      <c r="H68" s="60">
        <f t="shared" si="7"/>
        <v>411.04</v>
      </c>
      <c r="I68" s="60">
        <f t="shared" si="7"/>
        <v>411.04</v>
      </c>
      <c r="J68" s="60">
        <f t="shared" si="7"/>
        <v>411.44000000000005</v>
      </c>
      <c r="K68" s="60">
        <f t="shared" si="7"/>
        <v>411.14000000000004</v>
      </c>
      <c r="L68" s="60">
        <f t="shared" si="7"/>
        <v>401.54000000000008</v>
      </c>
      <c r="M68" s="60">
        <f t="shared" si="7"/>
        <v>413.74000000000007</v>
      </c>
      <c r="N68" s="60">
        <f t="shared" si="7"/>
        <v>402.1400000000001</v>
      </c>
      <c r="O68" s="60">
        <f t="shared" si="7"/>
        <v>391.54</v>
      </c>
      <c r="P68" s="60">
        <f t="shared" si="7"/>
        <v>400.04</v>
      </c>
      <c r="Q68" s="60">
        <f t="shared" si="7"/>
        <v>398.34000000000003</v>
      </c>
      <c r="R68" s="60">
        <f t="shared" si="7"/>
        <v>398.34000000000003</v>
      </c>
      <c r="S68" s="60">
        <f t="shared" si="7"/>
        <v>415.64000000000004</v>
      </c>
      <c r="T68" s="60">
        <f t="shared" si="7"/>
        <v>411.44</v>
      </c>
      <c r="U68" s="60">
        <f t="shared" si="7"/>
        <v>395.94</v>
      </c>
      <c r="V68" s="60">
        <f t="shared" si="7"/>
        <v>354.54</v>
      </c>
      <c r="W68" s="60">
        <f t="shared" si="7"/>
        <v>359.84000000000003</v>
      </c>
      <c r="X68" s="60">
        <f t="shared" si="7"/>
        <v>365.24</v>
      </c>
      <c r="Y68" s="60">
        <f t="shared" si="7"/>
        <v>392.44</v>
      </c>
      <c r="Z68" s="60">
        <f t="shared" si="7"/>
        <v>417.64</v>
      </c>
      <c r="AA68" s="60">
        <f t="shared" si="7"/>
        <v>416.64000000000004</v>
      </c>
      <c r="AB68" s="60">
        <f t="shared" si="7"/>
        <v>416.04</v>
      </c>
      <c r="AC68" s="60">
        <f t="shared" si="7"/>
        <v>416.04</v>
      </c>
      <c r="AD68" s="60">
        <f t="shared" si="7"/>
        <v>412.34000000000003</v>
      </c>
      <c r="AE68" s="60">
        <f t="shared" si="7"/>
        <v>387.14</v>
      </c>
      <c r="AF68" s="60">
        <f t="shared" si="7"/>
        <v>363.64000000000004</v>
      </c>
      <c r="AG68" s="61">
        <f t="shared" si="7"/>
        <v>489.91</v>
      </c>
      <c r="AH68" s="47">
        <f t="shared" si="2"/>
        <v>417.64</v>
      </c>
      <c r="AI68" s="48">
        <f t="shared" si="3"/>
        <v>354.54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14</v>
      </c>
      <c r="Z69" s="45">
        <v>0</v>
      </c>
      <c r="AA69" s="45">
        <v>0</v>
      </c>
      <c r="AB69" s="45">
        <v>0</v>
      </c>
      <c r="AC69" s="45"/>
      <c r="AD69" s="45"/>
      <c r="AE69" s="45"/>
      <c r="AF69" s="45"/>
      <c r="AG69" s="51">
        <v>60</v>
      </c>
      <c r="AH69" s="47">
        <f t="shared" si="2"/>
        <v>14</v>
      </c>
      <c r="AI69" s="48">
        <f t="shared" si="3"/>
        <v>0</v>
      </c>
      <c r="AK69" s="50"/>
    </row>
    <row r="70" spans="1:40" x14ac:dyDescent="0.25">
      <c r="A70" s="53" t="s">
        <v>78</v>
      </c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5.8</v>
      </c>
      <c r="Z70" s="64">
        <v>5.8</v>
      </c>
      <c r="AA70" s="64">
        <v>0</v>
      </c>
      <c r="AB70" s="64">
        <v>0</v>
      </c>
      <c r="AC70" s="64"/>
      <c r="AD70" s="64"/>
      <c r="AE70" s="64"/>
      <c r="AF70" s="64"/>
      <c r="AG70" s="54">
        <v>32</v>
      </c>
      <c r="AH70" s="47">
        <f t="shared" si="2"/>
        <v>5.8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2.1</v>
      </c>
      <c r="Z71" s="66">
        <v>2.1</v>
      </c>
      <c r="AA71" s="66">
        <v>0</v>
      </c>
      <c r="AB71" s="66">
        <v>0</v>
      </c>
      <c r="AC71" s="66"/>
      <c r="AD71" s="66"/>
      <c r="AE71" s="66"/>
      <c r="AF71" s="66"/>
      <c r="AG71" s="67">
        <v>14</v>
      </c>
      <c r="AH71" s="47">
        <f t="shared" si="2"/>
        <v>2.1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 t="shared" si="8"/>
        <v>0</v>
      </c>
      <c r="T72" s="60">
        <f t="shared" si="8"/>
        <v>0</v>
      </c>
      <c r="U72" s="60">
        <f t="shared" si="8"/>
        <v>0</v>
      </c>
      <c r="V72" s="60">
        <f t="shared" si="8"/>
        <v>0</v>
      </c>
      <c r="W72" s="60">
        <f t="shared" si="8"/>
        <v>0</v>
      </c>
      <c r="X72" s="60">
        <f t="shared" si="8"/>
        <v>0</v>
      </c>
      <c r="Y72" s="60">
        <f t="shared" si="8"/>
        <v>21.900000000000002</v>
      </c>
      <c r="Z72" s="60">
        <f t="shared" si="8"/>
        <v>7.9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21.900000000000002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6.2</v>
      </c>
      <c r="C73" s="45">
        <v>5</v>
      </c>
      <c r="D73" s="45">
        <v>2.6</v>
      </c>
      <c r="E73" s="45">
        <v>-1.6</v>
      </c>
      <c r="F73" s="45">
        <v>-11</v>
      </c>
      <c r="G73" s="45">
        <v>-21</v>
      </c>
      <c r="H73" s="45">
        <v>-11.4</v>
      </c>
      <c r="I73" s="45">
        <v>-17</v>
      </c>
      <c r="J73" s="45">
        <v>-22</v>
      </c>
      <c r="K73" s="45">
        <v>-23.7</v>
      </c>
      <c r="L73" s="45">
        <v>-17.5</v>
      </c>
      <c r="M73" s="45">
        <v>-4.5999999999999996</v>
      </c>
      <c r="N73" s="45">
        <v>-13.7</v>
      </c>
      <c r="O73" s="45">
        <v>-8.1999999999999993</v>
      </c>
      <c r="P73" s="45">
        <v>-16.600000000000001</v>
      </c>
      <c r="Q73" s="45">
        <v>-16.899999999999999</v>
      </c>
      <c r="R73" s="45">
        <v>-10.6</v>
      </c>
      <c r="S73" s="45">
        <v>-18.8</v>
      </c>
      <c r="T73" s="45">
        <v>-4.5</v>
      </c>
      <c r="U73" s="45">
        <v>-7.4</v>
      </c>
      <c r="V73" s="45">
        <v>-18</v>
      </c>
      <c r="W73" s="45">
        <v>-4.2</v>
      </c>
      <c r="X73" s="45">
        <v>-24</v>
      </c>
      <c r="Y73" s="45">
        <v>-19.899999999999999</v>
      </c>
      <c r="Z73" s="45">
        <v>1.5</v>
      </c>
      <c r="AA73" s="45">
        <v>2.5</v>
      </c>
      <c r="AB73" s="45">
        <v>9.9</v>
      </c>
      <c r="AC73" s="45">
        <v>2.2000000000000002</v>
      </c>
      <c r="AD73" s="45">
        <v>4</v>
      </c>
      <c r="AE73" s="45">
        <v>-15</v>
      </c>
      <c r="AF73" s="45">
        <v>-11.7</v>
      </c>
      <c r="AG73" s="51"/>
      <c r="AH73" s="47">
        <f t="shared" si="2"/>
        <v>9.9</v>
      </c>
      <c r="AI73" s="48">
        <f t="shared" si="3"/>
        <v>-24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-413</v>
      </c>
      <c r="C75" s="64">
        <v>-481</v>
      </c>
      <c r="D75" s="64">
        <v>-455</v>
      </c>
      <c r="E75" s="64">
        <v>-430.1</v>
      </c>
      <c r="F75" s="64">
        <v>-467.8</v>
      </c>
      <c r="G75" s="64">
        <v>-492.6</v>
      </c>
      <c r="H75" s="64">
        <v>-492.3</v>
      </c>
      <c r="I75" s="64">
        <v>-470.8</v>
      </c>
      <c r="J75" s="64">
        <v>-502.5</v>
      </c>
      <c r="K75" s="64">
        <v>-489</v>
      </c>
      <c r="L75" s="64">
        <v>-405</v>
      </c>
      <c r="M75" s="64">
        <v>-390</v>
      </c>
      <c r="N75" s="64">
        <v>-390</v>
      </c>
      <c r="O75" s="64">
        <v>-427</v>
      </c>
      <c r="P75" s="64">
        <v>-368</v>
      </c>
      <c r="Q75" s="64">
        <v>-345</v>
      </c>
      <c r="R75" s="64">
        <v>-376</v>
      </c>
      <c r="S75" s="64">
        <v>-358</v>
      </c>
      <c r="T75" s="64">
        <v>-340.2</v>
      </c>
      <c r="U75" s="64">
        <v>-367</v>
      </c>
      <c r="V75" s="64">
        <v>-389</v>
      </c>
      <c r="W75" s="64">
        <v>-423</v>
      </c>
      <c r="X75" s="64">
        <v>-432.9</v>
      </c>
      <c r="Y75" s="64">
        <v>-315</v>
      </c>
      <c r="Z75" s="64">
        <v>-344.4</v>
      </c>
      <c r="AA75" s="64">
        <v>-380</v>
      </c>
      <c r="AB75" s="64">
        <v>-383</v>
      </c>
      <c r="AC75" s="64">
        <v>-405</v>
      </c>
      <c r="AD75" s="64">
        <v>-339.5</v>
      </c>
      <c r="AE75" s="64">
        <v>-372.6</v>
      </c>
      <c r="AF75" s="64">
        <v>-352.7</v>
      </c>
      <c r="AG75" s="74"/>
      <c r="AH75" s="47">
        <f t="shared" si="2"/>
        <v>-315</v>
      </c>
      <c r="AI75" s="48">
        <f t="shared" si="3"/>
        <v>-502.5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>
        <v>8</v>
      </c>
      <c r="AF77" s="45">
        <v>8</v>
      </c>
      <c r="AG77" s="74"/>
      <c r="AH77" s="47">
        <f t="shared" ref="AH77:AH120" si="9">MAX(B77:AF77)</f>
        <v>8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6.2</v>
      </c>
      <c r="C84" s="60">
        <f t="shared" ref="C84:AF84" si="11">SUMIF(C73:C83,"&gt;0")</f>
        <v>5</v>
      </c>
      <c r="D84" s="60">
        <f>SUMIF(D73:D83,"&gt;0")</f>
        <v>2.6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1.5</v>
      </c>
      <c r="AA84" s="60">
        <f t="shared" si="11"/>
        <v>2.5</v>
      </c>
      <c r="AB84" s="60">
        <f t="shared" si="11"/>
        <v>9.9</v>
      </c>
      <c r="AC84" s="60">
        <f t="shared" si="11"/>
        <v>2.2000000000000002</v>
      </c>
      <c r="AD84" s="60">
        <f t="shared" si="11"/>
        <v>4</v>
      </c>
      <c r="AE84" s="60">
        <f t="shared" si="11"/>
        <v>8</v>
      </c>
      <c r="AF84" s="60">
        <f t="shared" si="11"/>
        <v>8</v>
      </c>
      <c r="AG84" s="87">
        <f>SUM(AG73:AG83)</f>
        <v>0</v>
      </c>
      <c r="AH84" s="47">
        <f t="shared" si="9"/>
        <v>9.9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>B50+B54+B72+B68+B84+B88</f>
        <v>1941.64</v>
      </c>
      <c r="C89" s="94">
        <f t="shared" ref="C89:AG89" si="12">C50+C54+C72+C68+C84+C88</f>
        <v>1936.14</v>
      </c>
      <c r="D89" s="94">
        <f>D50+D54+D72+D68+D84+D88</f>
        <v>1943.1399999999999</v>
      </c>
      <c r="E89" s="94">
        <f t="shared" si="12"/>
        <v>1919.34</v>
      </c>
      <c r="F89" s="94">
        <f t="shared" si="12"/>
        <v>1921.54</v>
      </c>
      <c r="G89" s="94">
        <f t="shared" si="12"/>
        <v>1926.6399999999999</v>
      </c>
      <c r="H89" s="94">
        <f t="shared" si="12"/>
        <v>1946.8400000000001</v>
      </c>
      <c r="I89" s="94">
        <f t="shared" si="12"/>
        <v>1946.74</v>
      </c>
      <c r="J89" s="94">
        <f t="shared" si="12"/>
        <v>1972.2400000000002</v>
      </c>
      <c r="K89" s="94">
        <f t="shared" si="12"/>
        <v>2016.4400000000003</v>
      </c>
      <c r="L89" s="94">
        <f t="shared" si="12"/>
        <v>2012.6399999999999</v>
      </c>
      <c r="M89" s="94">
        <f t="shared" si="12"/>
        <v>2025.64</v>
      </c>
      <c r="N89" s="94">
        <f t="shared" si="12"/>
        <v>2011.0400000000002</v>
      </c>
      <c r="O89" s="94">
        <f t="shared" si="12"/>
        <v>2000.44</v>
      </c>
      <c r="P89" s="94">
        <f t="shared" si="12"/>
        <v>2013.94</v>
      </c>
      <c r="Q89" s="94">
        <f t="shared" si="12"/>
        <v>2012.2400000000002</v>
      </c>
      <c r="R89" s="94">
        <f t="shared" si="12"/>
        <v>2020.7400000000002</v>
      </c>
      <c r="S89" s="94">
        <f t="shared" si="12"/>
        <v>2026.24</v>
      </c>
      <c r="T89" s="94">
        <f t="shared" si="12"/>
        <v>2050.14</v>
      </c>
      <c r="U89" s="94">
        <f t="shared" si="12"/>
        <v>2034.6399999999999</v>
      </c>
      <c r="V89" s="94">
        <f t="shared" si="12"/>
        <v>1984.54</v>
      </c>
      <c r="W89" s="94">
        <f t="shared" si="12"/>
        <v>1988.8400000000001</v>
      </c>
      <c r="X89" s="94">
        <f t="shared" si="12"/>
        <v>1994.24</v>
      </c>
      <c r="Y89" s="94">
        <f t="shared" si="12"/>
        <v>2043.8400000000001</v>
      </c>
      <c r="Z89" s="94">
        <f t="shared" si="12"/>
        <v>2114.94</v>
      </c>
      <c r="AA89" s="94">
        <f t="shared" si="12"/>
        <v>2156.7399999999998</v>
      </c>
      <c r="AB89" s="94">
        <f t="shared" si="12"/>
        <v>2125.84</v>
      </c>
      <c r="AC89" s="94">
        <f t="shared" si="12"/>
        <v>2102.7399999999998</v>
      </c>
      <c r="AD89" s="94">
        <f t="shared" si="12"/>
        <v>2045.04</v>
      </c>
      <c r="AE89" s="94">
        <f t="shared" si="12"/>
        <v>2005.3399999999997</v>
      </c>
      <c r="AF89" s="94">
        <f t="shared" si="12"/>
        <v>1968.5400000000002</v>
      </c>
      <c r="AG89" s="61">
        <f t="shared" si="12"/>
        <v>2111.5500000000002</v>
      </c>
      <c r="AH89" s="47">
        <f t="shared" si="9"/>
        <v>2156.7399999999998</v>
      </c>
      <c r="AI89" s="48">
        <f t="shared" si="10"/>
        <v>1919.34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>B89+B90</f>
        <v>1941.64</v>
      </c>
      <c r="C91" s="94">
        <f t="shared" ref="C91:AF91" si="13">C89+C90</f>
        <v>1936.14</v>
      </c>
      <c r="D91" s="94">
        <f>D89+D90</f>
        <v>1943.1399999999999</v>
      </c>
      <c r="E91" s="94">
        <f t="shared" si="13"/>
        <v>1919.34</v>
      </c>
      <c r="F91" s="94">
        <f t="shared" si="13"/>
        <v>1921.54</v>
      </c>
      <c r="G91" s="94">
        <f t="shared" si="13"/>
        <v>1926.6399999999999</v>
      </c>
      <c r="H91" s="94">
        <f t="shared" si="13"/>
        <v>1946.8400000000001</v>
      </c>
      <c r="I91" s="94">
        <f t="shared" si="13"/>
        <v>1946.74</v>
      </c>
      <c r="J91" s="94">
        <f t="shared" si="13"/>
        <v>1972.2400000000002</v>
      </c>
      <c r="K91" s="94">
        <f t="shared" si="13"/>
        <v>2016.4400000000003</v>
      </c>
      <c r="L91" s="94">
        <f t="shared" si="13"/>
        <v>2012.6399999999999</v>
      </c>
      <c r="M91" s="94">
        <f t="shared" si="13"/>
        <v>2025.64</v>
      </c>
      <c r="N91" s="94">
        <f t="shared" si="13"/>
        <v>2011.0400000000002</v>
      </c>
      <c r="O91" s="94">
        <f t="shared" si="13"/>
        <v>2000.44</v>
      </c>
      <c r="P91" s="94">
        <f t="shared" si="13"/>
        <v>2013.94</v>
      </c>
      <c r="Q91" s="94">
        <f t="shared" si="13"/>
        <v>2012.2400000000002</v>
      </c>
      <c r="R91" s="94">
        <f t="shared" si="13"/>
        <v>2020.7400000000002</v>
      </c>
      <c r="S91" s="94">
        <f t="shared" si="13"/>
        <v>2026.24</v>
      </c>
      <c r="T91" s="94">
        <f t="shared" si="13"/>
        <v>2050.14</v>
      </c>
      <c r="U91" s="94">
        <f t="shared" si="13"/>
        <v>2034.6399999999999</v>
      </c>
      <c r="V91" s="94">
        <f t="shared" si="13"/>
        <v>1984.54</v>
      </c>
      <c r="W91" s="94">
        <f t="shared" si="13"/>
        <v>1988.8400000000001</v>
      </c>
      <c r="X91" s="94">
        <f t="shared" si="13"/>
        <v>1994.24</v>
      </c>
      <c r="Y91" s="94">
        <f t="shared" si="13"/>
        <v>2043.8400000000001</v>
      </c>
      <c r="Z91" s="94">
        <f t="shared" si="13"/>
        <v>2114.94</v>
      </c>
      <c r="AA91" s="94">
        <f t="shared" si="13"/>
        <v>2156.7399999999998</v>
      </c>
      <c r="AB91" s="94">
        <f t="shared" si="13"/>
        <v>2125.84</v>
      </c>
      <c r="AC91" s="94">
        <f t="shared" si="13"/>
        <v>2102.7399999999998</v>
      </c>
      <c r="AD91" s="94">
        <f t="shared" si="13"/>
        <v>2045.04</v>
      </c>
      <c r="AE91" s="94">
        <f t="shared" si="13"/>
        <v>2005.3399999999997</v>
      </c>
      <c r="AF91" s="94">
        <f t="shared" si="13"/>
        <v>1968.5400000000002</v>
      </c>
      <c r="AG91" s="87">
        <f>AG88+AG84+AG72+AG68+AG50+AG90</f>
        <v>1573.45</v>
      </c>
      <c r="AH91" s="47">
        <f t="shared" si="9"/>
        <v>2156.7399999999998</v>
      </c>
      <c r="AI91" s="48">
        <f t="shared" si="10"/>
        <v>1919.34</v>
      </c>
    </row>
    <row r="92" spans="1:40" ht="15.75" thickBot="1" x14ac:dyDescent="0.3">
      <c r="A92" s="73" t="s">
        <v>103</v>
      </c>
      <c r="B92" s="94">
        <f>B91-(-B99)</f>
        <v>1528.64</v>
      </c>
      <c r="C92" s="94">
        <f t="shared" ref="C92:AF92" si="14">C91-(-C99)</f>
        <v>1455.14</v>
      </c>
      <c r="D92" s="94">
        <f t="shared" si="14"/>
        <v>1488.1399999999999</v>
      </c>
      <c r="E92" s="94">
        <f t="shared" si="14"/>
        <v>1489.2399999999998</v>
      </c>
      <c r="F92" s="94">
        <f t="shared" si="14"/>
        <v>1453.74</v>
      </c>
      <c r="G92" s="94">
        <f t="shared" si="14"/>
        <v>1434.04</v>
      </c>
      <c r="H92" s="94">
        <f t="shared" si="14"/>
        <v>1454.5400000000002</v>
      </c>
      <c r="I92" s="94">
        <f t="shared" si="14"/>
        <v>1475.94</v>
      </c>
      <c r="J92" s="94">
        <f t="shared" si="14"/>
        <v>1469.7400000000002</v>
      </c>
      <c r="K92" s="94">
        <f t="shared" si="14"/>
        <v>1527.4400000000003</v>
      </c>
      <c r="L92" s="94">
        <f t="shared" si="14"/>
        <v>1607.6399999999999</v>
      </c>
      <c r="M92" s="94">
        <f t="shared" si="14"/>
        <v>1635.64</v>
      </c>
      <c r="N92" s="94">
        <f t="shared" si="14"/>
        <v>1621.0400000000002</v>
      </c>
      <c r="O92" s="94">
        <f t="shared" si="14"/>
        <v>1573.44</v>
      </c>
      <c r="P92" s="94">
        <f t="shared" si="14"/>
        <v>1645.94</v>
      </c>
      <c r="Q92" s="94">
        <f t="shared" si="14"/>
        <v>1667.2400000000002</v>
      </c>
      <c r="R92" s="94">
        <f t="shared" si="14"/>
        <v>1644.7400000000002</v>
      </c>
      <c r="S92" s="94">
        <f t="shared" si="14"/>
        <v>1668.24</v>
      </c>
      <c r="T92" s="94">
        <f t="shared" si="14"/>
        <v>1709.9399999999998</v>
      </c>
      <c r="U92" s="94">
        <f t="shared" si="14"/>
        <v>1667.6399999999999</v>
      </c>
      <c r="V92" s="94">
        <f t="shared" si="14"/>
        <v>1595.54</v>
      </c>
      <c r="W92" s="94">
        <f t="shared" si="14"/>
        <v>1565.8400000000001</v>
      </c>
      <c r="X92" s="94">
        <f t="shared" si="14"/>
        <v>1561.3400000000001</v>
      </c>
      <c r="Y92" s="94">
        <f t="shared" si="14"/>
        <v>1728.8400000000001</v>
      </c>
      <c r="Z92" s="94">
        <f t="shared" si="14"/>
        <v>1770.54</v>
      </c>
      <c r="AA92" s="94">
        <f t="shared" si="14"/>
        <v>1776.7399999999998</v>
      </c>
      <c r="AB92" s="94">
        <f t="shared" si="14"/>
        <v>1742.8400000000001</v>
      </c>
      <c r="AC92" s="94">
        <f t="shared" si="14"/>
        <v>1697.7399999999998</v>
      </c>
      <c r="AD92" s="94">
        <f t="shared" si="14"/>
        <v>1705.54</v>
      </c>
      <c r="AE92" s="94">
        <f t="shared" si="14"/>
        <v>1632.7399999999998</v>
      </c>
      <c r="AF92" s="94">
        <f t="shared" si="14"/>
        <v>1615.8400000000001</v>
      </c>
      <c r="AG92" s="87"/>
      <c r="AH92" s="47">
        <f t="shared" si="9"/>
        <v>1776.7399999999998</v>
      </c>
      <c r="AI92" s="48">
        <f t="shared" si="10"/>
        <v>1434.04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-413</v>
      </c>
      <c r="C99" s="60">
        <f t="shared" ref="C99:AF99" si="15">C75</f>
        <v>-481</v>
      </c>
      <c r="D99" s="60">
        <f>D75</f>
        <v>-455</v>
      </c>
      <c r="E99" s="60">
        <f t="shared" si="15"/>
        <v>-430.1</v>
      </c>
      <c r="F99" s="60">
        <f t="shared" si="15"/>
        <v>-467.8</v>
      </c>
      <c r="G99" s="60">
        <f t="shared" si="15"/>
        <v>-492.6</v>
      </c>
      <c r="H99" s="60">
        <f t="shared" si="15"/>
        <v>-492.3</v>
      </c>
      <c r="I99" s="60">
        <f t="shared" si="15"/>
        <v>-470.8</v>
      </c>
      <c r="J99" s="60">
        <f t="shared" si="15"/>
        <v>-502.5</v>
      </c>
      <c r="K99" s="60">
        <f t="shared" si="15"/>
        <v>-489</v>
      </c>
      <c r="L99" s="60">
        <f t="shared" si="15"/>
        <v>-405</v>
      </c>
      <c r="M99" s="60">
        <f t="shared" si="15"/>
        <v>-390</v>
      </c>
      <c r="N99" s="60">
        <f t="shared" si="15"/>
        <v>-390</v>
      </c>
      <c r="O99" s="60">
        <f t="shared" si="15"/>
        <v>-427</v>
      </c>
      <c r="P99" s="60">
        <f t="shared" si="15"/>
        <v>-368</v>
      </c>
      <c r="Q99" s="60">
        <f t="shared" si="15"/>
        <v>-345</v>
      </c>
      <c r="R99" s="60">
        <f t="shared" si="15"/>
        <v>-376</v>
      </c>
      <c r="S99" s="60">
        <f t="shared" si="15"/>
        <v>-358</v>
      </c>
      <c r="T99" s="60">
        <f t="shared" si="15"/>
        <v>-340.2</v>
      </c>
      <c r="U99" s="60">
        <f t="shared" si="15"/>
        <v>-367</v>
      </c>
      <c r="V99" s="60">
        <f t="shared" si="15"/>
        <v>-389</v>
      </c>
      <c r="W99" s="60">
        <f t="shared" si="15"/>
        <v>-423</v>
      </c>
      <c r="X99" s="60">
        <f t="shared" si="15"/>
        <v>-432.9</v>
      </c>
      <c r="Y99" s="60">
        <f t="shared" si="15"/>
        <v>-315</v>
      </c>
      <c r="Z99" s="60">
        <f t="shared" si="15"/>
        <v>-344.4</v>
      </c>
      <c r="AA99" s="60">
        <f t="shared" si="15"/>
        <v>-380</v>
      </c>
      <c r="AB99" s="60">
        <f t="shared" si="15"/>
        <v>-383</v>
      </c>
      <c r="AC99" s="60">
        <f t="shared" si="15"/>
        <v>-405</v>
      </c>
      <c r="AD99" s="60">
        <f t="shared" si="15"/>
        <v>-339.5</v>
      </c>
      <c r="AE99" s="60">
        <f t="shared" si="15"/>
        <v>-372.6</v>
      </c>
      <c r="AF99" s="60">
        <f t="shared" si="15"/>
        <v>-352.7</v>
      </c>
      <c r="AG99" s="87"/>
      <c r="AH99" s="47">
        <f t="shared" si="9"/>
        <v>-315</v>
      </c>
      <c r="AI99" s="48">
        <f t="shared" si="10"/>
        <v>-502.5</v>
      </c>
      <c r="AK99" s="50"/>
    </row>
    <row r="100" spans="1:37" ht="15.75" thickBot="1" x14ac:dyDescent="0.3">
      <c r="A100" s="73" t="s">
        <v>108</v>
      </c>
      <c r="B100" s="60">
        <f>B84-B99</f>
        <v>419.2</v>
      </c>
      <c r="C100" s="60">
        <f t="shared" ref="C100:AF100" si="16">C84-C99</f>
        <v>486</v>
      </c>
      <c r="D100" s="60">
        <f>D84-D99</f>
        <v>457.6</v>
      </c>
      <c r="E100" s="60">
        <f t="shared" si="16"/>
        <v>430.1</v>
      </c>
      <c r="F100" s="60">
        <f t="shared" si="16"/>
        <v>467.8</v>
      </c>
      <c r="G100" s="60">
        <f t="shared" si="16"/>
        <v>492.6</v>
      </c>
      <c r="H100" s="60">
        <f t="shared" si="16"/>
        <v>492.3</v>
      </c>
      <c r="I100" s="60">
        <f t="shared" si="16"/>
        <v>470.8</v>
      </c>
      <c r="J100" s="60">
        <f t="shared" si="16"/>
        <v>502.5</v>
      </c>
      <c r="K100" s="60">
        <f t="shared" si="16"/>
        <v>489</v>
      </c>
      <c r="L100" s="60">
        <f t="shared" si="16"/>
        <v>405</v>
      </c>
      <c r="M100" s="60">
        <f t="shared" si="16"/>
        <v>390</v>
      </c>
      <c r="N100" s="60">
        <f t="shared" si="16"/>
        <v>390</v>
      </c>
      <c r="O100" s="60">
        <f t="shared" si="16"/>
        <v>427</v>
      </c>
      <c r="P100" s="60">
        <f t="shared" si="16"/>
        <v>368</v>
      </c>
      <c r="Q100" s="60">
        <f t="shared" si="16"/>
        <v>345</v>
      </c>
      <c r="R100" s="60">
        <f t="shared" si="16"/>
        <v>376</v>
      </c>
      <c r="S100" s="60">
        <f t="shared" si="16"/>
        <v>358</v>
      </c>
      <c r="T100" s="60">
        <f t="shared" si="16"/>
        <v>340.2</v>
      </c>
      <c r="U100" s="60">
        <f t="shared" si="16"/>
        <v>367</v>
      </c>
      <c r="V100" s="60">
        <f t="shared" si="16"/>
        <v>389</v>
      </c>
      <c r="W100" s="60">
        <f t="shared" si="16"/>
        <v>423</v>
      </c>
      <c r="X100" s="60">
        <f t="shared" si="16"/>
        <v>432.9</v>
      </c>
      <c r="Y100" s="60">
        <f t="shared" si="16"/>
        <v>315</v>
      </c>
      <c r="Z100" s="60">
        <f t="shared" si="16"/>
        <v>345.9</v>
      </c>
      <c r="AA100" s="60">
        <f t="shared" si="16"/>
        <v>382.5</v>
      </c>
      <c r="AB100" s="60">
        <f t="shared" si="16"/>
        <v>392.9</v>
      </c>
      <c r="AC100" s="60">
        <f t="shared" si="16"/>
        <v>407.2</v>
      </c>
      <c r="AD100" s="60">
        <f t="shared" si="16"/>
        <v>343.5</v>
      </c>
      <c r="AE100" s="60">
        <f t="shared" si="16"/>
        <v>380.6</v>
      </c>
      <c r="AF100" s="60">
        <f t="shared" si="16"/>
        <v>360.7</v>
      </c>
      <c r="AG100" s="87"/>
      <c r="AH100" s="47">
        <f t="shared" si="9"/>
        <v>502.5</v>
      </c>
      <c r="AI100" s="48">
        <f t="shared" si="10"/>
        <v>315</v>
      </c>
    </row>
    <row r="101" spans="1:37" x14ac:dyDescent="0.25">
      <c r="A101" s="99" t="s">
        <v>109</v>
      </c>
      <c r="B101" s="100">
        <v>49.98</v>
      </c>
      <c r="C101" s="100">
        <v>50</v>
      </c>
      <c r="D101" s="100">
        <v>50.03</v>
      </c>
      <c r="E101" s="100">
        <v>50.006999999999998</v>
      </c>
      <c r="F101" s="100">
        <v>49.997999999999998</v>
      </c>
      <c r="G101" s="100">
        <v>49.881</v>
      </c>
      <c r="H101" s="100">
        <v>49.93</v>
      </c>
      <c r="I101" s="100">
        <v>49.99</v>
      </c>
      <c r="J101" s="100">
        <v>49.817999999999998</v>
      </c>
      <c r="K101" s="100">
        <v>50.018999999999998</v>
      </c>
      <c r="L101" s="100">
        <v>49.997999999999998</v>
      </c>
      <c r="M101" s="100">
        <v>49.92</v>
      </c>
      <c r="N101" s="100">
        <v>50.042999999999999</v>
      </c>
      <c r="O101" s="100">
        <v>50.034999999999997</v>
      </c>
      <c r="P101" s="100">
        <v>50.037999999999997</v>
      </c>
      <c r="Q101" s="100">
        <v>50.012</v>
      </c>
      <c r="R101" s="100">
        <v>49.973999999999997</v>
      </c>
      <c r="S101" s="100">
        <v>49.941000000000003</v>
      </c>
      <c r="T101" s="100">
        <v>49.851999999999997</v>
      </c>
      <c r="U101" s="100">
        <v>49.96</v>
      </c>
      <c r="V101" s="100">
        <v>50.143000000000001</v>
      </c>
      <c r="W101" s="100">
        <v>50.014000000000003</v>
      </c>
      <c r="X101" s="100">
        <v>49.933999999999997</v>
      </c>
      <c r="Y101" s="100">
        <v>49.993000000000002</v>
      </c>
      <c r="Z101" s="100">
        <v>49.866</v>
      </c>
      <c r="AA101" s="100">
        <v>50.002000000000002</v>
      </c>
      <c r="AB101" s="100">
        <v>50.061999999999998</v>
      </c>
      <c r="AC101" s="100">
        <v>49.951000000000001</v>
      </c>
      <c r="AD101" s="100">
        <v>49.988</v>
      </c>
      <c r="AE101" s="100">
        <v>49.94</v>
      </c>
      <c r="AF101" s="100">
        <v>49.95</v>
      </c>
      <c r="AG101" s="101"/>
      <c r="AH101" s="47">
        <f t="shared" si="9"/>
        <v>50.143000000000001</v>
      </c>
      <c r="AI101" s="48">
        <f t="shared" si="10"/>
        <v>49.817999999999998</v>
      </c>
    </row>
    <row r="102" spans="1:37" x14ac:dyDescent="0.25">
      <c r="A102" s="102" t="s">
        <v>110</v>
      </c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129.9</v>
      </c>
      <c r="C103" s="64">
        <v>131.6</v>
      </c>
      <c r="D103" s="64">
        <v>130</v>
      </c>
      <c r="E103" s="64">
        <v>129.9</v>
      </c>
      <c r="F103" s="64">
        <v>130.80000000000001</v>
      </c>
      <c r="G103" s="64">
        <v>130.4</v>
      </c>
      <c r="H103" s="64">
        <v>129.6</v>
      </c>
      <c r="I103" s="64">
        <v>129.69999999999999</v>
      </c>
      <c r="J103" s="64">
        <v>127.7</v>
      </c>
      <c r="K103" s="64">
        <v>126.6</v>
      </c>
      <c r="L103" s="64">
        <v>126.5</v>
      </c>
      <c r="M103" s="64">
        <v>124.7</v>
      </c>
      <c r="N103" s="64">
        <v>125.9</v>
      </c>
      <c r="O103" s="64">
        <v>125.6</v>
      </c>
      <c r="P103" s="64">
        <v>126.1</v>
      </c>
      <c r="Q103" s="64">
        <v>125.4</v>
      </c>
      <c r="R103" s="64">
        <v>126</v>
      </c>
      <c r="S103" s="64">
        <v>125.5</v>
      </c>
      <c r="T103" s="64">
        <v>126.1</v>
      </c>
      <c r="U103" s="64">
        <v>126</v>
      </c>
      <c r="V103" s="64">
        <v>128.5</v>
      </c>
      <c r="W103" s="64">
        <v>128</v>
      </c>
      <c r="X103" s="64">
        <v>128.4</v>
      </c>
      <c r="Y103" s="64">
        <v>128.19999999999999</v>
      </c>
      <c r="Z103" s="64">
        <v>125.8</v>
      </c>
      <c r="AA103" s="64">
        <v>126.6</v>
      </c>
      <c r="AB103" s="64">
        <v>127.5</v>
      </c>
      <c r="AC103" s="64">
        <v>128.1</v>
      </c>
      <c r="AD103" s="64">
        <v>128.4</v>
      </c>
      <c r="AE103" s="64">
        <v>128.80000000000001</v>
      </c>
      <c r="AF103" s="64">
        <v>129</v>
      </c>
      <c r="AG103" s="103"/>
      <c r="AH103" s="47">
        <f t="shared" si="9"/>
        <v>131.6</v>
      </c>
      <c r="AI103" s="48">
        <f t="shared" si="10"/>
        <v>124.7</v>
      </c>
    </row>
    <row r="104" spans="1:37" x14ac:dyDescent="0.25">
      <c r="A104" s="102" t="s">
        <v>112</v>
      </c>
      <c r="B104" s="64">
        <v>127.5</v>
      </c>
      <c r="C104" s="64">
        <v>128.9</v>
      </c>
      <c r="D104" s="64">
        <v>127.2</v>
      </c>
      <c r="E104" s="64">
        <v>128.4</v>
      </c>
      <c r="F104" s="64">
        <v>130</v>
      </c>
      <c r="G104" s="64">
        <v>128.4</v>
      </c>
      <c r="H104" s="64">
        <v>130.19999999999999</v>
      </c>
      <c r="I104" s="64">
        <v>129.9</v>
      </c>
      <c r="J104" s="64">
        <v>127.7</v>
      </c>
      <c r="K104" s="64">
        <v>128</v>
      </c>
      <c r="L104" s="64">
        <v>128.69999999999999</v>
      </c>
      <c r="M104" s="64">
        <v>126</v>
      </c>
      <c r="N104" s="64">
        <v>127</v>
      </c>
      <c r="O104" s="64">
        <v>130.9</v>
      </c>
      <c r="P104" s="64">
        <v>126.5</v>
      </c>
      <c r="Q104" s="64">
        <v>128.5</v>
      </c>
      <c r="R104" s="64">
        <v>126.9</v>
      </c>
      <c r="S104" s="64">
        <v>124.1</v>
      </c>
      <c r="T104" s="64">
        <v>130</v>
      </c>
      <c r="U104" s="64">
        <v>128.5</v>
      </c>
      <c r="V104" s="64">
        <v>130</v>
      </c>
      <c r="W104" s="64">
        <v>129.1</v>
      </c>
      <c r="X104" s="64">
        <v>127.1</v>
      </c>
      <c r="Y104" s="64">
        <v>125</v>
      </c>
      <c r="Z104" s="64">
        <v>126.3</v>
      </c>
      <c r="AA104" s="64">
        <v>125.6</v>
      </c>
      <c r="AB104" s="64">
        <v>126.6</v>
      </c>
      <c r="AC104" s="64">
        <v>128.5</v>
      </c>
      <c r="AD104" s="64">
        <v>128.30000000000001</v>
      </c>
      <c r="AE104" s="64">
        <v>128.80000000000001</v>
      </c>
      <c r="AF104" s="64">
        <v>129</v>
      </c>
      <c r="AG104" s="103"/>
      <c r="AH104" s="47">
        <f t="shared" si="9"/>
        <v>130.9</v>
      </c>
      <c r="AI104" s="48">
        <f t="shared" si="10"/>
        <v>124.1</v>
      </c>
    </row>
    <row r="105" spans="1:37" x14ac:dyDescent="0.25">
      <c r="A105" s="104" t="s">
        <v>113</v>
      </c>
      <c r="B105" s="64">
        <v>131.9</v>
      </c>
      <c r="C105" s="64">
        <v>133.6</v>
      </c>
      <c r="D105" s="64">
        <v>132.1</v>
      </c>
      <c r="E105" s="64">
        <v>133</v>
      </c>
      <c r="F105" s="64">
        <v>132.9</v>
      </c>
      <c r="G105" s="64">
        <v>131.1</v>
      </c>
      <c r="H105" s="64">
        <v>132.6</v>
      </c>
      <c r="I105" s="64">
        <v>132.1</v>
      </c>
      <c r="J105" s="64">
        <v>130</v>
      </c>
      <c r="K105" s="64">
        <v>129.69999999999999</v>
      </c>
      <c r="L105" s="64">
        <v>131.1</v>
      </c>
      <c r="M105" s="64">
        <v>129.9</v>
      </c>
      <c r="N105" s="64"/>
      <c r="O105" s="64">
        <v>133</v>
      </c>
      <c r="P105" s="64">
        <v>130.1</v>
      </c>
      <c r="Q105" s="64">
        <v>130.6</v>
      </c>
      <c r="R105" s="64">
        <v>130.30000000000001</v>
      </c>
      <c r="S105" s="64">
        <v>127.3</v>
      </c>
      <c r="T105" s="64">
        <v>132.30000000000001</v>
      </c>
      <c r="U105" s="64">
        <v>131.4</v>
      </c>
      <c r="V105" s="64">
        <v>133.1</v>
      </c>
      <c r="W105" s="64">
        <v>130.19999999999999</v>
      </c>
      <c r="X105" s="64">
        <v>130.5</v>
      </c>
      <c r="Y105" s="64">
        <v>128</v>
      </c>
      <c r="Z105" s="64">
        <v>128.30000000000001</v>
      </c>
      <c r="AA105" s="64">
        <v>129.30000000000001</v>
      </c>
      <c r="AB105" s="64">
        <v>130.4</v>
      </c>
      <c r="AC105" s="64">
        <v>132</v>
      </c>
      <c r="AD105" s="64">
        <v>131.69999999999999</v>
      </c>
      <c r="AE105" s="64">
        <v>132.30000000000001</v>
      </c>
      <c r="AF105" s="64">
        <v>133.1</v>
      </c>
      <c r="AG105" s="103"/>
      <c r="AH105" s="47">
        <f t="shared" si="9"/>
        <v>133.6</v>
      </c>
      <c r="AI105" s="48">
        <f t="shared" si="10"/>
        <v>127.3</v>
      </c>
    </row>
    <row r="106" spans="1:37" x14ac:dyDescent="0.25">
      <c r="A106" s="104" t="s">
        <v>114</v>
      </c>
      <c r="B106" s="105">
        <v>133.6</v>
      </c>
      <c r="C106" s="105">
        <v>133.4</v>
      </c>
      <c r="D106" s="105">
        <v>132.5</v>
      </c>
      <c r="E106" s="105">
        <v>133.30000000000001</v>
      </c>
      <c r="F106" s="105">
        <v>132.80000000000001</v>
      </c>
      <c r="G106" s="105">
        <v>133.6</v>
      </c>
      <c r="H106" s="105">
        <v>130.9</v>
      </c>
      <c r="I106" s="105">
        <v>131.4</v>
      </c>
      <c r="J106" s="105">
        <v>128.9</v>
      </c>
      <c r="K106" s="105">
        <v>133.30000000000001</v>
      </c>
      <c r="L106" s="105">
        <v>134.19999999999999</v>
      </c>
      <c r="M106" s="105">
        <v>131</v>
      </c>
      <c r="N106" s="105">
        <v>132</v>
      </c>
      <c r="O106" s="105">
        <v>133.9</v>
      </c>
      <c r="P106" s="105">
        <v>135.5</v>
      </c>
      <c r="Q106" s="105">
        <v>132.19999999999999</v>
      </c>
      <c r="R106" s="105">
        <v>135.5</v>
      </c>
      <c r="S106" s="105">
        <v>133.19999999999999</v>
      </c>
      <c r="T106" s="105">
        <v>132</v>
      </c>
      <c r="U106" s="105">
        <v>132.19999999999999</v>
      </c>
      <c r="V106" s="105">
        <v>133.80000000000001</v>
      </c>
      <c r="W106" s="105">
        <v>132.4</v>
      </c>
      <c r="X106" s="105">
        <v>133.5</v>
      </c>
      <c r="Y106" s="105">
        <v>133.80000000000001</v>
      </c>
      <c r="Z106" s="105">
        <v>131.19999999999999</v>
      </c>
      <c r="AA106" s="105">
        <v>130.4</v>
      </c>
      <c r="AB106" s="105">
        <v>131.1</v>
      </c>
      <c r="AC106" s="105">
        <v>131.19999999999999</v>
      </c>
      <c r="AD106" s="105">
        <v>132.4</v>
      </c>
      <c r="AE106" s="105">
        <v>131.80000000000001</v>
      </c>
      <c r="AF106" s="105">
        <v>133.1</v>
      </c>
      <c r="AG106" s="106"/>
      <c r="AH106" s="47">
        <f t="shared" si="9"/>
        <v>135.5</v>
      </c>
      <c r="AI106" s="48">
        <f t="shared" si="10"/>
        <v>128.9</v>
      </c>
    </row>
    <row r="107" spans="1:37" x14ac:dyDescent="0.25">
      <c r="A107" s="102" t="s">
        <v>115</v>
      </c>
      <c r="B107" s="64">
        <v>129.6</v>
      </c>
      <c r="C107" s="64">
        <v>134.30000000000001</v>
      </c>
      <c r="D107" s="64">
        <v>132.69999999999999</v>
      </c>
      <c r="E107" s="64">
        <v>131.4</v>
      </c>
      <c r="F107" s="64">
        <v>134</v>
      </c>
      <c r="G107" s="64">
        <v>136.30000000000001</v>
      </c>
      <c r="H107" s="64">
        <v>132</v>
      </c>
      <c r="I107" s="64">
        <v>133.19999999999999</v>
      </c>
      <c r="J107" s="64">
        <v>132.6</v>
      </c>
      <c r="K107" s="64">
        <v>132.1</v>
      </c>
      <c r="L107" s="64">
        <v>132.1</v>
      </c>
      <c r="M107" s="64">
        <v>134</v>
      </c>
      <c r="N107" s="64">
        <v>130.80000000000001</v>
      </c>
      <c r="O107" s="64">
        <v>125</v>
      </c>
      <c r="P107" s="64">
        <v>123.2</v>
      </c>
      <c r="Q107" s="64">
        <v>129.5</v>
      </c>
      <c r="R107" s="64">
        <v>129.6</v>
      </c>
      <c r="S107" s="64">
        <v>130.1</v>
      </c>
      <c r="T107" s="64">
        <v>126</v>
      </c>
      <c r="U107" s="64">
        <v>126.9</v>
      </c>
      <c r="V107" s="64">
        <v>132.6</v>
      </c>
      <c r="W107" s="64">
        <v>127.3</v>
      </c>
      <c r="X107" s="64">
        <v>129.4</v>
      </c>
      <c r="Y107" s="64">
        <v>130.1</v>
      </c>
      <c r="Z107" s="64">
        <v>128.19999999999999</v>
      </c>
      <c r="AA107" s="64">
        <v>126.1</v>
      </c>
      <c r="AB107" s="64">
        <v>125.6</v>
      </c>
      <c r="AC107" s="64">
        <v>123.6</v>
      </c>
      <c r="AD107" s="64">
        <v>125.6</v>
      </c>
      <c r="AE107" s="64">
        <v>126.6</v>
      </c>
      <c r="AF107" s="64">
        <v>128.6</v>
      </c>
      <c r="AG107" s="103"/>
      <c r="AH107" s="47">
        <f t="shared" si="9"/>
        <v>136.30000000000001</v>
      </c>
      <c r="AI107" s="48">
        <f t="shared" si="10"/>
        <v>123.2</v>
      </c>
    </row>
    <row r="108" spans="1:37" ht="15.75" thickBot="1" x14ac:dyDescent="0.3">
      <c r="A108" s="102" t="s">
        <v>116</v>
      </c>
      <c r="B108" s="91">
        <v>65.8</v>
      </c>
      <c r="C108" s="91">
        <v>66.599999999999994</v>
      </c>
      <c r="D108" s="91">
        <v>65.8</v>
      </c>
      <c r="E108" s="91">
        <v>65.5</v>
      </c>
      <c r="F108" s="91">
        <v>65.8</v>
      </c>
      <c r="G108" s="91">
        <v>65.7</v>
      </c>
      <c r="H108" s="91">
        <v>65.3</v>
      </c>
      <c r="I108" s="91">
        <v>65.2</v>
      </c>
      <c r="J108" s="91">
        <v>64.099999999999994</v>
      </c>
      <c r="K108" s="91">
        <v>63.7</v>
      </c>
      <c r="L108" s="91">
        <v>63.8</v>
      </c>
      <c r="M108" s="91">
        <v>63</v>
      </c>
      <c r="N108" s="91">
        <v>63.1</v>
      </c>
      <c r="O108" s="91">
        <v>62.9</v>
      </c>
      <c r="P108" s="91">
        <v>63.1</v>
      </c>
      <c r="Q108" s="91">
        <v>63.1</v>
      </c>
      <c r="R108" s="91">
        <v>62.9</v>
      </c>
      <c r="S108" s="91">
        <v>62.8</v>
      </c>
      <c r="T108" s="91">
        <v>63.1</v>
      </c>
      <c r="U108" s="91">
        <v>63.2</v>
      </c>
      <c r="V108" s="91">
        <v>64.599999999999994</v>
      </c>
      <c r="W108" s="91">
        <v>64.5</v>
      </c>
      <c r="X108" s="91">
        <v>64.599999999999994</v>
      </c>
      <c r="Y108" s="91">
        <v>64.599999999999994</v>
      </c>
      <c r="Z108" s="91">
        <v>63.3</v>
      </c>
      <c r="AA108" s="91">
        <v>63.9</v>
      </c>
      <c r="AB108" s="91">
        <v>64.400000000000006</v>
      </c>
      <c r="AC108" s="91">
        <v>64.599999999999994</v>
      </c>
      <c r="AD108" s="91">
        <v>64.8</v>
      </c>
      <c r="AE108" s="91">
        <v>64.900000000000006</v>
      </c>
      <c r="AF108" s="91">
        <v>65.2</v>
      </c>
      <c r="AG108" s="107"/>
      <c r="AH108" s="47">
        <f t="shared" si="9"/>
        <v>66.599999999999994</v>
      </c>
      <c r="AI108" s="48">
        <f t="shared" si="10"/>
        <v>62.8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24.600000000000005</v>
      </c>
      <c r="C110" s="110">
        <f t="shared" ref="C110:O110" si="17">SUM(C20,C26,C29:C30,C58,C60:C61,C63,C65,C111:C115,C138,C144,C150,C159,C161,C173,C180,C183:C184,C191,C193,C195,C199:C201,C203:C205,C210,C216:C217,C219:C221,C229,C234)</f>
        <v>27.540000000000031</v>
      </c>
      <c r="D110" s="110">
        <f>SUM(D20,D26,D29:D30,D58,D60:D61,D63,D65,D111:D115,D138,D144,D150,D159,D161,D173,D180,D183:D184,D191,D193,D195,D199:D201,D203:D205,D210,D216:D217,D219:D221,D229,D234)</f>
        <v>15.14</v>
      </c>
      <c r="E110" s="110">
        <f t="shared" si="17"/>
        <v>11.239999999999974</v>
      </c>
      <c r="F110" s="110">
        <f t="shared" si="17"/>
        <v>11.940000000000007</v>
      </c>
      <c r="G110" s="110">
        <f t="shared" si="17"/>
        <v>33.839999999999982</v>
      </c>
      <c r="H110" s="110">
        <f t="shared" si="17"/>
        <v>52.04</v>
      </c>
      <c r="I110" s="110">
        <f t="shared" si="17"/>
        <v>122.53999999999999</v>
      </c>
      <c r="J110" s="110">
        <f t="shared" si="17"/>
        <v>171.73999999999995</v>
      </c>
      <c r="K110" s="110">
        <f t="shared" si="17"/>
        <v>198.33999999999995</v>
      </c>
      <c r="L110" s="110">
        <f t="shared" si="17"/>
        <v>179.54000000000002</v>
      </c>
      <c r="M110" s="110">
        <f t="shared" si="17"/>
        <v>197.43999999999997</v>
      </c>
      <c r="N110" s="110">
        <f t="shared" si="17"/>
        <v>174.23999999999998</v>
      </c>
      <c r="O110" s="110">
        <f t="shared" si="17"/>
        <v>181.14000000000001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183.6</v>
      </c>
      <c r="R110" s="110">
        <f t="shared" si="18"/>
        <v>179.89999999999995</v>
      </c>
      <c r="S110" s="110">
        <f t="shared" si="18"/>
        <v>158.29999999999998</v>
      </c>
      <c r="T110" s="110">
        <f t="shared" si="18"/>
        <v>193.39999999999998</v>
      </c>
      <c r="U110" s="110">
        <f t="shared" si="18"/>
        <v>179.6</v>
      </c>
      <c r="V110" s="110">
        <f t="shared" si="18"/>
        <v>177.4</v>
      </c>
      <c r="W110" s="110">
        <f t="shared" si="18"/>
        <v>175.5</v>
      </c>
      <c r="X110" s="110">
        <f t="shared" si="18"/>
        <v>179.59999999999997</v>
      </c>
      <c r="Y110" s="110">
        <f t="shared" si="18"/>
        <v>218.39999999999995</v>
      </c>
      <c r="Z110" s="110">
        <f t="shared" si="18"/>
        <v>236.29999999999995</v>
      </c>
      <c r="AA110" s="110">
        <f t="shared" si="18"/>
        <v>220.59999999999994</v>
      </c>
      <c r="AB110" s="110">
        <f t="shared" si="18"/>
        <v>183.7</v>
      </c>
      <c r="AC110" s="110">
        <f t="shared" si="18"/>
        <v>155.5</v>
      </c>
      <c r="AD110" s="110"/>
      <c r="AE110" s="110">
        <f t="shared" si="18"/>
        <v>85.19999999999996</v>
      </c>
      <c r="AF110" s="110">
        <f t="shared" si="18"/>
        <v>44.299999999999969</v>
      </c>
      <c r="AG110" s="111"/>
      <c r="AH110" s="47">
        <f t="shared" si="9"/>
        <v>236.29999999999995</v>
      </c>
      <c r="AI110" s="48">
        <f t="shared" si="10"/>
        <v>11.239999999999974</v>
      </c>
    </row>
    <row r="111" spans="1:37" x14ac:dyDescent="0.25">
      <c r="A111" s="99" t="s">
        <v>119</v>
      </c>
      <c r="B111" s="112">
        <v>16.100000000000001</v>
      </c>
      <c r="C111" s="112">
        <v>15</v>
      </c>
      <c r="D111" s="112">
        <v>26.1</v>
      </c>
      <c r="E111" s="112">
        <v>12.2</v>
      </c>
      <c r="F111" s="112">
        <v>15</v>
      </c>
      <c r="G111" s="112">
        <v>29.7</v>
      </c>
      <c r="H111" s="112">
        <v>29</v>
      </c>
      <c r="I111" s="112">
        <v>44.7</v>
      </c>
      <c r="J111" s="112">
        <v>46.7</v>
      </c>
      <c r="K111" s="112">
        <v>55.6</v>
      </c>
      <c r="L111" s="112">
        <v>41</v>
      </c>
      <c r="M111" s="112">
        <v>46.1</v>
      </c>
      <c r="N111" s="112">
        <v>36</v>
      </c>
      <c r="O111" s="112">
        <v>43.8</v>
      </c>
      <c r="P111" s="112">
        <v>40.6</v>
      </c>
      <c r="Q111" s="112">
        <v>36.1</v>
      </c>
      <c r="R111" s="112">
        <v>42.2</v>
      </c>
      <c r="S111" s="112">
        <v>33.799999999999997</v>
      </c>
      <c r="T111" s="112">
        <v>26.6</v>
      </c>
      <c r="U111" s="112">
        <v>27</v>
      </c>
      <c r="V111" s="112">
        <v>31.8</v>
      </c>
      <c r="W111" s="112">
        <v>33.5</v>
      </c>
      <c r="X111" s="112">
        <v>34.4</v>
      </c>
      <c r="Y111" s="112">
        <v>33.200000000000003</v>
      </c>
      <c r="Z111" s="112">
        <v>47.7</v>
      </c>
      <c r="AA111" s="112">
        <v>44.8</v>
      </c>
      <c r="AB111" s="112">
        <v>42.9</v>
      </c>
      <c r="AC111" s="112">
        <v>37.700000000000003</v>
      </c>
      <c r="AD111" s="112">
        <v>31.8</v>
      </c>
      <c r="AE111" s="112">
        <v>26.2</v>
      </c>
      <c r="AF111" s="112">
        <v>16.7</v>
      </c>
      <c r="AG111" s="113">
        <v>75</v>
      </c>
      <c r="AH111" s="47">
        <f t="shared" si="9"/>
        <v>55.6</v>
      </c>
      <c r="AI111" s="48">
        <f t="shared" si="10"/>
        <v>12.2</v>
      </c>
    </row>
    <row r="112" spans="1:37" x14ac:dyDescent="0.25">
      <c r="A112" s="102" t="s">
        <v>120</v>
      </c>
      <c r="B112" s="114">
        <v>25.7</v>
      </c>
      <c r="C112" s="114">
        <v>28.3</v>
      </c>
      <c r="D112" s="114">
        <v>44.1</v>
      </c>
      <c r="E112" s="114">
        <v>23.6</v>
      </c>
      <c r="F112" s="114">
        <v>27.4</v>
      </c>
      <c r="G112" s="114">
        <v>47.7</v>
      </c>
      <c r="H112" s="114">
        <v>45.7</v>
      </c>
      <c r="I112" s="114">
        <v>67.5</v>
      </c>
      <c r="J112" s="114">
        <v>75.2</v>
      </c>
      <c r="K112" s="114">
        <v>83.6</v>
      </c>
      <c r="L112" s="114">
        <v>61.9</v>
      </c>
      <c r="M112" s="114">
        <v>68.7</v>
      </c>
      <c r="N112" s="114">
        <v>53.3</v>
      </c>
      <c r="O112" s="114">
        <v>63.8</v>
      </c>
      <c r="P112" s="114">
        <v>59.8</v>
      </c>
      <c r="Q112" s="114">
        <v>52.2</v>
      </c>
      <c r="R112" s="114">
        <v>62.9</v>
      </c>
      <c r="S112" s="114">
        <v>51.7</v>
      </c>
      <c r="T112" s="114">
        <v>37</v>
      </c>
      <c r="U112" s="114">
        <v>37.9</v>
      </c>
      <c r="V112" s="114">
        <v>39.4</v>
      </c>
      <c r="W112" s="114">
        <v>42.3</v>
      </c>
      <c r="X112" s="114">
        <v>42.3</v>
      </c>
      <c r="Y112" s="114">
        <v>41.2</v>
      </c>
      <c r="Z112" s="114">
        <v>66.900000000000006</v>
      </c>
      <c r="AA112" s="114">
        <v>63.7</v>
      </c>
      <c r="AB112" s="114">
        <v>59.6</v>
      </c>
      <c r="AC112" s="114">
        <v>51.1</v>
      </c>
      <c r="AD112" s="114">
        <v>41.6</v>
      </c>
      <c r="AE112" s="114">
        <v>34.799999999999997</v>
      </c>
      <c r="AF112" s="114">
        <v>23.6</v>
      </c>
      <c r="AG112" s="113">
        <v>240</v>
      </c>
      <c r="AH112" s="47">
        <f t="shared" si="9"/>
        <v>83.6</v>
      </c>
      <c r="AI112" s="48">
        <f t="shared" si="10"/>
        <v>23.6</v>
      </c>
    </row>
    <row r="113" spans="1:37" x14ac:dyDescent="0.25">
      <c r="A113" s="102" t="s">
        <v>121</v>
      </c>
      <c r="B113" s="114">
        <f>-73.3-77.6</f>
        <v>-150.89999999999998</v>
      </c>
      <c r="C113" s="114">
        <f>-71-74.2</f>
        <v>-145.19999999999999</v>
      </c>
      <c r="D113" s="114">
        <f>-88.6-94.1</f>
        <v>-182.7</v>
      </c>
      <c r="E113" s="114">
        <f>-80-83.8</f>
        <v>-163.80000000000001</v>
      </c>
      <c r="F113" s="114">
        <f>-82-86</f>
        <v>-168</v>
      </c>
      <c r="G113" s="114">
        <f>-83.8-88.3</f>
        <v>-172.1</v>
      </c>
      <c r="H113" s="114">
        <f>-78-83</f>
        <v>-161</v>
      </c>
      <c r="I113" s="114">
        <f>-69-74</f>
        <v>-143</v>
      </c>
      <c r="J113" s="114">
        <f>-67-73</f>
        <v>-140</v>
      </c>
      <c r="K113" s="114">
        <f>-68-75</f>
        <v>-143</v>
      </c>
      <c r="L113" s="114">
        <f>-52-53</f>
        <v>-105</v>
      </c>
      <c r="M113" s="114">
        <v>-117</v>
      </c>
      <c r="N113" s="114">
        <v>-100</v>
      </c>
      <c r="O113" s="114">
        <v>-105</v>
      </c>
      <c r="P113" s="114">
        <v>-105</v>
      </c>
      <c r="Q113" s="114">
        <v>-100</v>
      </c>
      <c r="R113" s="114">
        <v>-122</v>
      </c>
      <c r="S113" s="114">
        <v>-120</v>
      </c>
      <c r="T113" s="114">
        <v>-58</v>
      </c>
      <c r="U113" s="114">
        <v>-68</v>
      </c>
      <c r="V113" s="114">
        <v>-56</v>
      </c>
      <c r="W113" s="114">
        <v>-62.5</v>
      </c>
      <c r="X113" s="114">
        <v>-60</v>
      </c>
      <c r="Y113" s="114">
        <v>-58</v>
      </c>
      <c r="Z113" s="114">
        <v>-108</v>
      </c>
      <c r="AA113" s="114">
        <v>-120</v>
      </c>
      <c r="AB113" s="114">
        <f>-59-62</f>
        <v>-121</v>
      </c>
      <c r="AC113" s="114">
        <f>-58-61</f>
        <v>-119</v>
      </c>
      <c r="AD113" s="114">
        <f>-53-57</f>
        <v>-110</v>
      </c>
      <c r="AE113" s="114">
        <f>-60-64</f>
        <v>-124</v>
      </c>
      <c r="AF113" s="114">
        <f>-63-66</f>
        <v>-129</v>
      </c>
      <c r="AG113" s="113">
        <v>240</v>
      </c>
      <c r="AH113" s="47">
        <f t="shared" si="9"/>
        <v>-56</v>
      </c>
      <c r="AI113" s="48">
        <f t="shared" si="10"/>
        <v>-182.7</v>
      </c>
    </row>
    <row r="114" spans="1:37" x14ac:dyDescent="0.25">
      <c r="A114" s="102" t="s">
        <v>122</v>
      </c>
      <c r="B114" s="114">
        <v>-5.3</v>
      </c>
      <c r="C114" s="114">
        <v>-5.9</v>
      </c>
      <c r="D114" s="114">
        <v>-7.3</v>
      </c>
      <c r="E114" s="114">
        <v>-6.7</v>
      </c>
      <c r="F114" s="114">
        <v>-8.4</v>
      </c>
      <c r="G114" s="114">
        <v>-6.9</v>
      </c>
      <c r="H114" s="114">
        <v>-7.9</v>
      </c>
      <c r="I114" s="114">
        <v>2.1</v>
      </c>
      <c r="J114" s="114">
        <v>3.2</v>
      </c>
      <c r="K114" s="114">
        <v>5.3</v>
      </c>
      <c r="L114" s="114">
        <v>9.3000000000000007</v>
      </c>
      <c r="M114" s="114">
        <v>8</v>
      </c>
      <c r="N114" s="114">
        <v>6.1</v>
      </c>
      <c r="O114" s="114">
        <v>7.9</v>
      </c>
      <c r="P114" s="114">
        <v>10.1</v>
      </c>
      <c r="Q114" s="114">
        <v>11.1</v>
      </c>
      <c r="R114" s="114">
        <v>5.7</v>
      </c>
      <c r="S114" s="114">
        <v>7.3</v>
      </c>
      <c r="T114" s="114">
        <v>12.4</v>
      </c>
      <c r="U114" s="114">
        <v>14.4</v>
      </c>
      <c r="V114" s="114">
        <v>12.5</v>
      </c>
      <c r="W114" s="114">
        <v>12.5</v>
      </c>
      <c r="X114" s="114">
        <v>13.2</v>
      </c>
      <c r="Y114" s="114">
        <v>29.6</v>
      </c>
      <c r="Z114" s="114">
        <v>11.4</v>
      </c>
      <c r="AA114" s="114">
        <v>7.1</v>
      </c>
      <c r="AB114" s="114">
        <v>5.6</v>
      </c>
      <c r="AC114" s="114">
        <v>6.7</v>
      </c>
      <c r="AD114" s="114">
        <v>5.0999999999999996</v>
      </c>
      <c r="AE114" s="114">
        <v>0.5</v>
      </c>
      <c r="AF114" s="114">
        <v>-1.7</v>
      </c>
      <c r="AG114" s="113">
        <v>60</v>
      </c>
      <c r="AH114" s="47">
        <f t="shared" si="9"/>
        <v>29.6</v>
      </c>
      <c r="AI114" s="48">
        <f t="shared" si="10"/>
        <v>-8.4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27.5</v>
      </c>
      <c r="K115" s="116">
        <v>34.9</v>
      </c>
      <c r="L115" s="116">
        <v>30</v>
      </c>
      <c r="M115" s="116">
        <v>38.4</v>
      </c>
      <c r="N115" s="116">
        <v>30.8</v>
      </c>
      <c r="O115" s="116">
        <v>26.7</v>
      </c>
      <c r="P115" s="116">
        <v>26.7</v>
      </c>
      <c r="Q115" s="116">
        <v>26.7</v>
      </c>
      <c r="R115" s="116">
        <v>33.6</v>
      </c>
      <c r="S115" s="116">
        <v>30.8</v>
      </c>
      <c r="T115" s="116">
        <v>26.7</v>
      </c>
      <c r="U115" s="116">
        <v>26.7</v>
      </c>
      <c r="V115" s="116">
        <v>26.7</v>
      </c>
      <c r="W115" s="116">
        <v>26.7</v>
      </c>
      <c r="X115" s="116">
        <v>26.7</v>
      </c>
      <c r="Y115" s="116">
        <v>26.7</v>
      </c>
      <c r="Z115" s="116">
        <v>56.6</v>
      </c>
      <c r="AA115" s="116">
        <v>57.5</v>
      </c>
      <c r="AB115" s="116">
        <v>38.799999999999997</v>
      </c>
      <c r="AC115" s="116">
        <v>26.6</v>
      </c>
      <c r="AD115" s="116">
        <v>26.8</v>
      </c>
      <c r="AE115" s="116">
        <v>23.6</v>
      </c>
      <c r="AF115" s="116">
        <v>0</v>
      </c>
      <c r="AG115" s="117">
        <v>120</v>
      </c>
      <c r="AH115" s="47">
        <f t="shared" si="9"/>
        <v>57.5</v>
      </c>
      <c r="AI115" s="48">
        <f t="shared" si="10"/>
        <v>0</v>
      </c>
    </row>
    <row r="116" spans="1:37" x14ac:dyDescent="0.25">
      <c r="A116" s="115" t="s">
        <v>124</v>
      </c>
      <c r="B116" s="116">
        <v>55.4</v>
      </c>
      <c r="C116" s="116">
        <v>30.7</v>
      </c>
      <c r="D116" s="116">
        <v>22.1</v>
      </c>
      <c r="E116" s="116">
        <v>33</v>
      </c>
      <c r="F116" s="116">
        <v>23.7</v>
      </c>
      <c r="G116" s="116">
        <v>15</v>
      </c>
      <c r="H116" s="116">
        <v>18.7</v>
      </c>
      <c r="I116" s="116">
        <v>22.2</v>
      </c>
      <c r="J116" s="116">
        <v>22.4</v>
      </c>
      <c r="K116" s="116">
        <v>32.299999999999997</v>
      </c>
      <c r="L116" s="116">
        <v>54.3</v>
      </c>
      <c r="M116" s="116">
        <v>68</v>
      </c>
      <c r="N116" s="116">
        <v>65.900000000000006</v>
      </c>
      <c r="O116" s="116">
        <v>76.599999999999994</v>
      </c>
      <c r="P116" s="116">
        <v>67.5</v>
      </c>
      <c r="Q116" s="116">
        <v>70.599999999999994</v>
      </c>
      <c r="R116" s="116">
        <v>56.6</v>
      </c>
      <c r="S116" s="116">
        <v>60.6</v>
      </c>
      <c r="T116" s="116">
        <v>69.3</v>
      </c>
      <c r="U116" s="116">
        <v>62.1</v>
      </c>
      <c r="V116" s="116">
        <v>53.5</v>
      </c>
      <c r="W116" s="116">
        <v>41.6</v>
      </c>
      <c r="X116" s="116">
        <v>44</v>
      </c>
      <c r="Y116" s="116">
        <v>56.7</v>
      </c>
      <c r="Z116" s="116">
        <v>21.1</v>
      </c>
      <c r="AA116" s="116">
        <v>13.3</v>
      </c>
      <c r="AB116" s="116">
        <v>15.1</v>
      </c>
      <c r="AC116" s="116">
        <v>22.9</v>
      </c>
      <c r="AD116" s="116">
        <v>37.6</v>
      </c>
      <c r="AE116" s="116">
        <v>31.5</v>
      </c>
      <c r="AF116" s="116">
        <v>34.9</v>
      </c>
      <c r="AG116" s="117"/>
      <c r="AH116" s="47">
        <f t="shared" si="9"/>
        <v>76.599999999999994</v>
      </c>
      <c r="AI116" s="48">
        <f t="shared" si="10"/>
        <v>13.3</v>
      </c>
    </row>
    <row r="117" spans="1:37" x14ac:dyDescent="0.25">
      <c r="A117" s="115" t="s">
        <v>125</v>
      </c>
      <c r="B117" s="116">
        <v>42.2</v>
      </c>
      <c r="C117" s="116">
        <v>41.2</v>
      </c>
      <c r="D117" s="116">
        <v>38.200000000000003</v>
      </c>
      <c r="E117" s="116">
        <v>37.5</v>
      </c>
      <c r="F117" s="116">
        <v>33.700000000000003</v>
      </c>
      <c r="G117" s="116">
        <v>23.4</v>
      </c>
      <c r="H117" s="116">
        <v>27.3</v>
      </c>
      <c r="I117" s="116">
        <v>21.4</v>
      </c>
      <c r="J117" s="116">
        <v>22.3</v>
      </c>
      <c r="K117" s="116">
        <v>24.8</v>
      </c>
      <c r="L117" s="116">
        <v>18.3</v>
      </c>
      <c r="M117" s="116">
        <v>19.3</v>
      </c>
      <c r="N117" s="116">
        <v>32.200000000000003</v>
      </c>
      <c r="O117" s="116">
        <v>19.3</v>
      </c>
      <c r="P117" s="116">
        <v>26.7</v>
      </c>
      <c r="Q117" s="116">
        <v>69.599999999999994</v>
      </c>
      <c r="R117" s="116">
        <v>20.3</v>
      </c>
      <c r="S117" s="116">
        <v>25.2</v>
      </c>
      <c r="T117" s="116">
        <v>-20.2</v>
      </c>
      <c r="U117" s="116">
        <v>-25.2</v>
      </c>
      <c r="V117" s="116">
        <v>-26.7</v>
      </c>
      <c r="W117" s="116">
        <v>-25.8</v>
      </c>
      <c r="X117" s="116">
        <v>-28.5</v>
      </c>
      <c r="Y117" s="116">
        <v>-15.5</v>
      </c>
      <c r="Z117" s="116">
        <v>-19</v>
      </c>
      <c r="AA117" s="116">
        <v>-26.1</v>
      </c>
      <c r="AB117" s="116">
        <v>-28.2</v>
      </c>
      <c r="AC117" s="116">
        <v>-27.2</v>
      </c>
      <c r="AD117" s="116">
        <v>-26.8</v>
      </c>
      <c r="AE117" s="116">
        <v>20.8</v>
      </c>
      <c r="AF117" s="116">
        <v>-10</v>
      </c>
      <c r="AG117" s="118"/>
      <c r="AH117" s="47">
        <f t="shared" si="9"/>
        <v>69.599999999999994</v>
      </c>
      <c r="AI117" s="48">
        <f t="shared" si="10"/>
        <v>-28.5</v>
      </c>
    </row>
    <row r="118" spans="1:37" x14ac:dyDescent="0.25">
      <c r="A118" s="119" t="s">
        <v>126</v>
      </c>
      <c r="B118" s="105">
        <v>60.7</v>
      </c>
      <c r="C118" s="105">
        <v>60.4</v>
      </c>
      <c r="D118" s="105">
        <v>49.8</v>
      </c>
      <c r="E118" s="105">
        <v>61.3</v>
      </c>
      <c r="F118" s="105">
        <v>63.3</v>
      </c>
      <c r="G118" s="105">
        <v>62.4</v>
      </c>
      <c r="H118" s="105">
        <v>62.4</v>
      </c>
      <c r="I118" s="105">
        <v>57.1</v>
      </c>
      <c r="J118" s="105">
        <v>58.3</v>
      </c>
      <c r="K118" s="105">
        <v>54.1</v>
      </c>
      <c r="L118" s="105">
        <v>52.9</v>
      </c>
      <c r="M118" s="105">
        <v>49</v>
      </c>
      <c r="N118" s="105">
        <v>47.6</v>
      </c>
      <c r="O118" s="105">
        <v>42.3</v>
      </c>
      <c r="P118" s="105">
        <v>39.5</v>
      </c>
      <c r="Q118" s="105">
        <v>33.6</v>
      </c>
      <c r="R118" s="105">
        <v>37.5</v>
      </c>
      <c r="S118" s="105">
        <v>28.9</v>
      </c>
      <c r="T118" s="105">
        <v>30.9</v>
      </c>
      <c r="U118" s="105">
        <v>29.8</v>
      </c>
      <c r="V118" s="105">
        <v>27.4</v>
      </c>
      <c r="W118" s="105">
        <v>26.4</v>
      </c>
      <c r="X118" s="105">
        <v>23.9</v>
      </c>
      <c r="Y118" s="105">
        <v>12.5</v>
      </c>
      <c r="Z118" s="105">
        <v>9.5</v>
      </c>
      <c r="AA118" s="105">
        <v>14.9</v>
      </c>
      <c r="AB118" s="105">
        <v>17.600000000000001</v>
      </c>
      <c r="AC118" s="105">
        <v>24.4</v>
      </c>
      <c r="AD118" s="105">
        <v>25</v>
      </c>
      <c r="AE118" s="105">
        <v>31.4</v>
      </c>
      <c r="AF118" s="105">
        <v>34.700000000000003</v>
      </c>
      <c r="AG118" s="118"/>
      <c r="AH118" s="47">
        <f t="shared" si="9"/>
        <v>63.3</v>
      </c>
      <c r="AI118" s="48">
        <f t="shared" si="10"/>
        <v>9.5</v>
      </c>
    </row>
    <row r="119" spans="1:37" x14ac:dyDescent="0.25">
      <c r="A119" s="120" t="s">
        <v>127</v>
      </c>
      <c r="B119" s="105">
        <v>83.5</v>
      </c>
      <c r="C119" s="105">
        <v>75.5</v>
      </c>
      <c r="D119" s="105">
        <v>95</v>
      </c>
      <c r="E119" s="105">
        <v>85.1</v>
      </c>
      <c r="F119" s="105">
        <v>87.2</v>
      </c>
      <c r="G119" s="105">
        <v>90.4</v>
      </c>
      <c r="H119" s="105">
        <v>92.3</v>
      </c>
      <c r="I119" s="105">
        <v>79.599999999999994</v>
      </c>
      <c r="J119" s="105">
        <v>72.599999999999994</v>
      </c>
      <c r="K119" s="105">
        <v>71.400000000000006</v>
      </c>
      <c r="L119" s="105">
        <v>89</v>
      </c>
      <c r="M119" s="105">
        <v>99</v>
      </c>
      <c r="N119" s="105">
        <v>78.2</v>
      </c>
      <c r="O119" s="105">
        <v>77</v>
      </c>
      <c r="P119" s="105">
        <v>88.8</v>
      </c>
      <c r="Q119" s="105">
        <v>77.8</v>
      </c>
      <c r="R119" s="105">
        <v>100.3</v>
      </c>
      <c r="S119" s="105">
        <v>93</v>
      </c>
      <c r="T119" s="105">
        <v>87.1</v>
      </c>
      <c r="U119" s="105">
        <v>91.9</v>
      </c>
      <c r="V119" s="105">
        <v>76.599999999999994</v>
      </c>
      <c r="W119" s="105">
        <v>95</v>
      </c>
      <c r="X119" s="105">
        <v>85</v>
      </c>
      <c r="Y119" s="105">
        <v>72.900000000000006</v>
      </c>
      <c r="Z119" s="105">
        <v>89.6</v>
      </c>
      <c r="AA119" s="105">
        <v>99.2</v>
      </c>
      <c r="AB119" s="105">
        <v>94.9</v>
      </c>
      <c r="AC119" s="105">
        <v>93.3</v>
      </c>
      <c r="AD119" s="105">
        <v>86.4</v>
      </c>
      <c r="AE119" s="105">
        <v>94.3</v>
      </c>
      <c r="AF119" s="105">
        <v>95</v>
      </c>
      <c r="AG119" s="118"/>
      <c r="AH119" s="47">
        <f t="shared" si="9"/>
        <v>100.3</v>
      </c>
      <c r="AI119" s="48">
        <f t="shared" si="10"/>
        <v>71.400000000000006</v>
      </c>
    </row>
    <row r="120" spans="1:37" ht="15.75" thickBot="1" x14ac:dyDescent="0.3">
      <c r="A120" s="119" t="s">
        <v>128</v>
      </c>
      <c r="B120" s="105">
        <v>5.8</v>
      </c>
      <c r="C120" s="105">
        <v>3.7</v>
      </c>
      <c r="D120" s="105">
        <v>9.6</v>
      </c>
      <c r="E120" s="105">
        <v>2.2999999999999998</v>
      </c>
      <c r="F120" s="105">
        <v>-5</v>
      </c>
      <c r="G120" s="105">
        <v>-9</v>
      </c>
      <c r="H120" s="105">
        <v>-10.199999999999999</v>
      </c>
      <c r="I120" s="105">
        <v>-1.8</v>
      </c>
      <c r="J120" s="105">
        <v>-15</v>
      </c>
      <c r="K120" s="105">
        <v>-6.9</v>
      </c>
      <c r="L120" s="105">
        <v>3.8</v>
      </c>
      <c r="M120" s="105">
        <v>4.9000000000000004</v>
      </c>
      <c r="N120" s="105">
        <v>0.4</v>
      </c>
      <c r="O120" s="105">
        <v>-21.8</v>
      </c>
      <c r="P120" s="105">
        <v>11.7</v>
      </c>
      <c r="Q120" s="105">
        <v>12.8</v>
      </c>
      <c r="R120" s="105">
        <v>13.2</v>
      </c>
      <c r="S120" s="105">
        <v>20.2</v>
      </c>
      <c r="T120" s="105">
        <v>14.8</v>
      </c>
      <c r="U120" s="105">
        <v>18.5</v>
      </c>
      <c r="V120" s="105">
        <v>10.7</v>
      </c>
      <c r="W120" s="105">
        <v>9.1</v>
      </c>
      <c r="X120" s="105">
        <v>6.9</v>
      </c>
      <c r="Y120" s="105">
        <v>33.6</v>
      </c>
      <c r="Z120" s="105">
        <v>45.6</v>
      </c>
      <c r="AA120" s="105">
        <v>36.6</v>
      </c>
      <c r="AB120" s="105">
        <v>39.6</v>
      </c>
      <c r="AC120" s="105">
        <v>36.1</v>
      </c>
      <c r="AD120" s="105">
        <v>37.9</v>
      </c>
      <c r="AE120" s="105">
        <v>29</v>
      </c>
      <c r="AF120" s="105">
        <v>35</v>
      </c>
      <c r="AG120" s="118"/>
      <c r="AH120" s="47">
        <f t="shared" si="9"/>
        <v>45.6</v>
      </c>
      <c r="AI120" s="48">
        <f t="shared" si="10"/>
        <v>-21.8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2025.64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1941.64</v>
      </c>
      <c r="U249" s="170">
        <f t="shared" si="23"/>
        <v>1936.14</v>
      </c>
      <c r="V249" s="170">
        <f t="shared" si="23"/>
        <v>1943.1399999999999</v>
      </c>
      <c r="W249" s="170">
        <f t="shared" si="23"/>
        <v>1919.34</v>
      </c>
      <c r="X249" s="170">
        <f t="shared" si="23"/>
        <v>1921.54</v>
      </c>
      <c r="Y249" s="170">
        <f t="shared" si="23"/>
        <v>1926.6399999999999</v>
      </c>
      <c r="Z249" s="170">
        <f t="shared" si="23"/>
        <v>1946.8400000000001</v>
      </c>
      <c r="AA249" s="170">
        <f t="shared" si="23"/>
        <v>1946.74</v>
      </c>
      <c r="AB249" s="170">
        <f t="shared" si="23"/>
        <v>1972.2400000000002</v>
      </c>
      <c r="AC249" s="170">
        <f t="shared" si="23"/>
        <v>2016.4400000000003</v>
      </c>
      <c r="AD249" s="170">
        <f t="shared" si="23"/>
        <v>2012.6399999999999</v>
      </c>
      <c r="AE249" s="170">
        <f t="shared" si="23"/>
        <v>2025.64</v>
      </c>
      <c r="AF249" s="170">
        <f t="shared" si="23"/>
        <v>2011.0400000000002</v>
      </c>
      <c r="AG249" s="170">
        <f t="shared" si="23"/>
        <v>2000.44</v>
      </c>
      <c r="AH249" s="170">
        <f t="shared" si="23"/>
        <v>2013.94</v>
      </c>
      <c r="AI249" s="170">
        <f t="shared" si="23"/>
        <v>2012.2400000000002</v>
      </c>
      <c r="AJ249" s="170">
        <f t="shared" si="23"/>
        <v>2020.7400000000002</v>
      </c>
      <c r="AK249" s="170">
        <f t="shared" si="23"/>
        <v>2026.24</v>
      </c>
      <c r="AL249" s="170">
        <f t="shared" si="23"/>
        <v>2050.14</v>
      </c>
      <c r="AM249" s="170">
        <f t="shared" si="23"/>
        <v>2034.6399999999999</v>
      </c>
      <c r="AN249" s="170">
        <f t="shared" si="23"/>
        <v>1984.54</v>
      </c>
      <c r="AO249" s="170">
        <f t="shared" si="23"/>
        <v>1988.8400000000001</v>
      </c>
      <c r="AP249" s="170">
        <f t="shared" si="23"/>
        <v>1994.24</v>
      </c>
      <c r="AQ249" s="170">
        <f t="shared" si="23"/>
        <v>2043.8400000000001</v>
      </c>
      <c r="AR249" s="170">
        <f t="shared" si="23"/>
        <v>2114.94</v>
      </c>
      <c r="AS249" s="170">
        <f t="shared" si="23"/>
        <v>2156.7399999999998</v>
      </c>
      <c r="AT249" s="170">
        <f t="shared" si="23"/>
        <v>2125.84</v>
      </c>
      <c r="AU249" s="170">
        <f t="shared" si="23"/>
        <v>2102.7399999999998</v>
      </c>
      <c r="AV249" s="170">
        <f t="shared" si="23"/>
        <v>2045.04</v>
      </c>
      <c r="AW249" s="170">
        <f t="shared" si="23"/>
        <v>2005.3399999999997</v>
      </c>
      <c r="AX249" s="170">
        <f t="shared" si="23"/>
        <v>1968.5400000000002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634" priority="119">
      <formula>$AH11=0</formula>
    </cfRule>
  </conditionalFormatting>
  <conditionalFormatting sqref="B8 M8 S8 AB8">
    <cfRule type="expression" dxfId="2633" priority="170">
      <formula>AND(C$9&gt;=14/24,C$9&lt;20/24)</formula>
    </cfRule>
    <cfRule type="expression" dxfId="2632" priority="172">
      <formula>C$9&lt;8/24</formula>
    </cfRule>
    <cfRule type="expression" dxfId="2631" priority="171">
      <formula>AND(C$9&gt;=8/24,C$9&lt;14/24)</formula>
    </cfRule>
  </conditionalFormatting>
  <conditionalFormatting sqref="B93:B101 B103:B109">
    <cfRule type="expression" dxfId="2630" priority="34">
      <formula>AND(B$9&gt;=14/24,B$9&lt;20/24)</formula>
    </cfRule>
    <cfRule type="expression" dxfId="2629" priority="35">
      <formula>AND(B$9&gt;=8/24,B$9&lt;14/24)</formula>
    </cfRule>
    <cfRule type="expression" dxfId="2628" priority="36">
      <formula>B$9&lt;8/24</formula>
    </cfRule>
    <cfRule type="expression" dxfId="2627" priority="33">
      <formula>B$9&gt;=20/24</formula>
    </cfRule>
  </conditionalFormatting>
  <conditionalFormatting sqref="B55:I66 C59:J59 J61:R66">
    <cfRule type="expression" dxfId="2626" priority="9">
      <formula>B$9&lt;8/24</formula>
    </cfRule>
    <cfRule type="expression" dxfId="2625" priority="6">
      <formula>B$9&gt;=20/24</formula>
    </cfRule>
    <cfRule type="expression" dxfId="2624" priority="7">
      <formula>AND(B$9&gt;=14/24,B$9&lt;20/24)</formula>
    </cfRule>
    <cfRule type="expression" dxfId="2623" priority="8">
      <formula>AND(B$9&gt;=8/24,B$9&lt;14/24)</formula>
    </cfRule>
  </conditionalFormatting>
  <conditionalFormatting sqref="B46:V46">
    <cfRule type="expression" dxfId="2622" priority="17">
      <formula>B$9&lt;8/24</formula>
    </cfRule>
  </conditionalFormatting>
  <conditionalFormatting sqref="B47:V47">
    <cfRule type="expression" dxfId="2621" priority="28">
      <formula>B47&gt;$AG47</formula>
    </cfRule>
  </conditionalFormatting>
  <conditionalFormatting sqref="B9:AF10 E11:K11 L11:L14 AB11:AF45 K12:K14 W17:AA45">
    <cfRule type="expression" dxfId="2620" priority="81">
      <formula>B$9&lt;8/24</formula>
    </cfRule>
    <cfRule type="expression" dxfId="2619" priority="80">
      <formula>AND(B$9&gt;=8/24,B$9&lt;14/24)</formula>
    </cfRule>
    <cfRule type="expression" dxfId="2618" priority="79">
      <formula>AND(B$9&gt;=14/24,B$9&lt;20/24)</formula>
    </cfRule>
  </conditionalFormatting>
  <conditionalFormatting sqref="B46:AF46">
    <cfRule type="expression" dxfId="2617" priority="14">
      <formula>B$9&gt;=20/24</formula>
    </cfRule>
    <cfRule type="expression" dxfId="2616" priority="15">
      <formula>AND(B$9&gt;=14/24,B$9&lt;20/24)</formula>
    </cfRule>
    <cfRule type="expression" dxfId="2615" priority="16">
      <formula>AND(B$9&gt;=8/24,B$9&lt;14/24)</formula>
    </cfRule>
  </conditionalFormatting>
  <conditionalFormatting sqref="B47:AF49">
    <cfRule type="expression" dxfId="2614" priority="24">
      <formula>B$9&gt;=20/24</formula>
    </cfRule>
    <cfRule type="expression" dxfId="2613" priority="25">
      <formula>AND(B$9&gt;=14/24,B$9&lt;20/24)</formula>
    </cfRule>
    <cfRule type="expression" dxfId="2612" priority="26">
      <formula>AND(B$9&gt;=8/24,B$9&lt;14/24)</formula>
    </cfRule>
  </conditionalFormatting>
  <conditionalFormatting sqref="B48:AF53">
    <cfRule type="expression" dxfId="2611" priority="23">
      <formula>B48&gt;$AG48</formula>
    </cfRule>
  </conditionalFormatting>
  <conditionalFormatting sqref="B51:AF53">
    <cfRule type="expression" dxfId="2610" priority="44">
      <formula>AND(B$9&gt;=8/24,B$9&lt;14/24)</formula>
    </cfRule>
    <cfRule type="expression" dxfId="2609" priority="43">
      <formula>AND(B$9&gt;=14/24,B$9&lt;20/24)</formula>
    </cfRule>
    <cfRule type="expression" dxfId="2608" priority="42">
      <formula>B$9&gt;=20/24</formula>
    </cfRule>
    <cfRule type="expression" dxfId="2607" priority="45">
      <formula>B$9&lt;8/24</formula>
    </cfRule>
  </conditionalFormatting>
  <conditionalFormatting sqref="B55:AF66">
    <cfRule type="expression" dxfId="2606" priority="5">
      <formula>B55&gt;$AG55</formula>
    </cfRule>
  </conditionalFormatting>
  <conditionalFormatting sqref="B69:AF71">
    <cfRule type="expression" dxfId="2605" priority="50">
      <formula>B$9&lt;8/24</formula>
    </cfRule>
    <cfRule type="expression" dxfId="2604" priority="48">
      <formula>AND(B$9&gt;=14/24,B$9&lt;20/24)</formula>
    </cfRule>
    <cfRule type="expression" dxfId="2603" priority="46">
      <formula>B69&gt;$AG69</formula>
    </cfRule>
    <cfRule type="expression" dxfId="2602" priority="47">
      <formula>B$9&gt;=20/24</formula>
    </cfRule>
    <cfRule type="expression" dxfId="2601" priority="49">
      <formula>AND(B$9&gt;=8/24,B$9&lt;14/24)</formula>
    </cfRule>
  </conditionalFormatting>
  <conditionalFormatting sqref="B73:AF91">
    <cfRule type="expression" dxfId="2600" priority="2">
      <formula>AND(B$9&gt;=14/24,B$9&lt;20/24)</formula>
    </cfRule>
    <cfRule type="expression" dxfId="2599" priority="3">
      <formula>AND(B$9&gt;=8/24,B$9&lt;14/24)</formula>
    </cfRule>
    <cfRule type="expression" dxfId="2598" priority="4">
      <formula>B$9&lt;8/24</formula>
    </cfRule>
    <cfRule type="expression" dxfId="2597" priority="1">
      <formula>B$9&gt;=20/24</formula>
    </cfRule>
  </conditionalFormatting>
  <conditionalFormatting sqref="B111:AF120">
    <cfRule type="expression" dxfId="2596" priority="10">
      <formula>B$9&gt;=20/24</formula>
    </cfRule>
    <cfRule type="expression" dxfId="2595" priority="11">
      <formula>AND(B$9&gt;=14/24,B$9&lt;20/24)</formula>
    </cfRule>
    <cfRule type="expression" dxfId="2594" priority="12">
      <formula>AND(B$9&gt;=8/24,B$9&lt;14/24)</formula>
    </cfRule>
    <cfRule type="expression" dxfId="2593" priority="13">
      <formula>B$9&lt;8/24</formula>
    </cfRule>
  </conditionalFormatting>
  <conditionalFormatting sqref="B227:AF227 D229:AF230 B229:B235 D231:H231 J231:AF231 D232:AF235 U248:AF248">
    <cfRule type="expression" dxfId="2592" priority="163">
      <formula>B$9&gt;=20/24</formula>
    </cfRule>
    <cfRule type="expression" dxfId="2591" priority="164">
      <formula>AND(B$9&gt;=14/24,B$9&lt;20/24)</formula>
    </cfRule>
    <cfRule type="expression" dxfId="2590" priority="165">
      <formula>AND(B$9&gt;=8/24,B$9&lt;14/24)</formula>
    </cfRule>
    <cfRule type="expression" dxfId="2589" priority="166">
      <formula>B$9&lt;8/24</formula>
    </cfRule>
  </conditionalFormatting>
  <conditionalFormatting sqref="B54:AG54">
    <cfRule type="expression" dxfId="2588" priority="51">
      <formula>B54&gt;$AG54</formula>
    </cfRule>
    <cfRule type="expression" dxfId="2587" priority="52">
      <formula>B$9&gt;=20/24</formula>
    </cfRule>
    <cfRule type="expression" dxfId="2586" priority="53">
      <formula>AND(B$9&gt;=14/24,B$9&lt;20/24)</formula>
    </cfRule>
    <cfRule type="expression" dxfId="2585" priority="54">
      <formula>AND(B$9&gt;=8/24,B$9&lt;14/24)</formula>
    </cfRule>
    <cfRule type="expression" dxfId="2584" priority="55">
      <formula>B$9&lt;8/24</formula>
    </cfRule>
  </conditionalFormatting>
  <conditionalFormatting sqref="B67:AG68 B72:AG72">
    <cfRule type="expression" dxfId="2583" priority="37">
      <formula>B67&gt;$AG67</formula>
    </cfRule>
  </conditionalFormatting>
  <conditionalFormatting sqref="B72:AG72">
    <cfRule type="expression" dxfId="2582" priority="41">
      <formula>B$9&lt;8/24</formula>
    </cfRule>
    <cfRule type="expression" dxfId="2581" priority="40">
      <formula>AND(B$9&gt;=8/24,B$9&lt;14/24)</formula>
    </cfRule>
    <cfRule type="expression" dxfId="2580" priority="38">
      <formula>B$9&gt;=20/24</formula>
    </cfRule>
    <cfRule type="expression" dxfId="2579" priority="39">
      <formula>AND(B$9&gt;=14/24,B$9&lt;20/24)</formula>
    </cfRule>
  </conditionalFormatting>
  <conditionalFormatting sqref="C93:AF109">
    <cfRule type="expression" dxfId="2578" priority="101">
      <formula>C$9&lt;8/24</formula>
    </cfRule>
    <cfRule type="expression" dxfId="2577" priority="99">
      <formula>AND(C$9&gt;=14/24,C$9&lt;20/24)</formula>
    </cfRule>
    <cfRule type="expression" dxfId="2576" priority="100">
      <formula>AND(C$9&gt;=8/24,C$9&lt;14/24)</formula>
    </cfRule>
    <cfRule type="expression" dxfId="2575" priority="98">
      <formula>C$9&gt;=20/24</formula>
    </cfRule>
  </conditionalFormatting>
  <conditionalFormatting sqref="E11:K11 L11:L14 AB11:AF45 K12:K14 W17:AA45 B9:AF10">
    <cfRule type="expression" dxfId="2574" priority="78">
      <formula>B$9&gt;=20/24</formula>
    </cfRule>
  </conditionalFormatting>
  <conditionalFormatting sqref="E55:L57">
    <cfRule type="expression" dxfId="2573" priority="147">
      <formula>E$9&lt;8/24</formula>
    </cfRule>
    <cfRule type="expression" dxfId="2572" priority="146">
      <formula>AND(E$9&gt;=8/24,E$9&lt;14/24)</formula>
    </cfRule>
    <cfRule type="expression" dxfId="2571" priority="145">
      <formula>AND(E$9&gt;=14/24,E$9&lt;20/24)</formula>
    </cfRule>
    <cfRule type="expression" dxfId="2570" priority="144">
      <formula>E$9&gt;=20/24</formula>
    </cfRule>
  </conditionalFormatting>
  <conditionalFormatting sqref="E60:R60">
    <cfRule type="expression" dxfId="2569" priority="109">
      <formula>E$9&lt;8/24</formula>
    </cfRule>
    <cfRule type="expression" dxfId="2568" priority="108">
      <formula>AND(E$9&gt;=8/24,E$9&lt;14/24)</formula>
    </cfRule>
    <cfRule type="expression" dxfId="2567" priority="107">
      <formula>AND(E$9&gt;=14/24,E$9&lt;20/24)</formula>
    </cfRule>
    <cfRule type="expression" dxfId="2566" priority="106">
      <formula>E$9&gt;=20/24</formula>
    </cfRule>
  </conditionalFormatting>
  <conditionalFormatting sqref="E47:V48 B47:D49">
    <cfRule type="expression" dxfId="2565" priority="27">
      <formula>B$9&lt;8/24</formula>
    </cfRule>
  </conditionalFormatting>
  <conditionalFormatting sqref="E61:AF66">
    <cfRule type="expression" dxfId="2564" priority="61">
      <formula>E$9&gt;=20/24</formula>
    </cfRule>
    <cfRule type="expression" dxfId="2563" priority="63">
      <formula>AND(E$9&gt;=8/24,E$9&lt;14/24)</formula>
    </cfRule>
    <cfRule type="expression" dxfId="2562" priority="64">
      <formula>E$9&lt;8/24</formula>
    </cfRule>
    <cfRule type="expression" dxfId="2561" priority="62">
      <formula>AND(E$9&gt;=14/24,E$9&lt;20/24)</formula>
    </cfRule>
  </conditionalFormatting>
  <conditionalFormatting sqref="M55:R59">
    <cfRule type="expression" dxfId="2560" priority="148">
      <formula>M$9&gt;=20/24</formula>
    </cfRule>
    <cfRule type="expression" dxfId="2559" priority="149">
      <formula>AND(M$9&gt;=14/24,M$9&lt;20/24)</formula>
    </cfRule>
    <cfRule type="expression" dxfId="2558" priority="150">
      <formula>AND(M$9&gt;=8/24,M$9&lt;14/24)</formula>
    </cfRule>
    <cfRule type="expression" dxfId="2557" priority="151">
      <formula>M$9&lt;8/24</formula>
    </cfRule>
  </conditionalFormatting>
  <conditionalFormatting sqref="M11:V46 B44:L46 W11:AA16 B11:D18 E12:I18 J12:J43 K15:L43 B19:I43">
    <cfRule type="expression" dxfId="2556" priority="18">
      <formula>B11&gt;$AG11</formula>
    </cfRule>
  </conditionalFormatting>
  <conditionalFormatting sqref="O3:P3">
    <cfRule type="iconSet" priority="167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555" priority="169">
      <formula>C$9&gt;=20/24</formula>
    </cfRule>
  </conditionalFormatting>
  <conditionalFormatting sqref="S8">
    <cfRule type="expression" dxfId="2554" priority="157">
      <formula>AND(U$9&gt;=14/24,U$9&lt;20/24)</formula>
    </cfRule>
    <cfRule type="expression" dxfId="2553" priority="159">
      <formula>U$9&lt;8/24</formula>
    </cfRule>
    <cfRule type="expression" dxfId="2552" priority="158">
      <formula>AND(U$9&gt;=8/24,U$9&lt;14/24)</formula>
    </cfRule>
    <cfRule type="expression" dxfId="2551" priority="156">
      <formula>U$9&gt;=20/24</formula>
    </cfRule>
  </conditionalFormatting>
  <conditionalFormatting sqref="S55:AF60">
    <cfRule type="expression" dxfId="2550" priority="67">
      <formula>AND(S$9&gt;=8/24,S$9&lt;14/24)</formula>
    </cfRule>
    <cfRule type="expression" dxfId="2549" priority="68">
      <formula>S$9&lt;8/24</formula>
    </cfRule>
    <cfRule type="expression" dxfId="2548" priority="66">
      <formula>AND(S$9&gt;=14/24,S$9&lt;20/24)</formula>
    </cfRule>
    <cfRule type="expression" dxfId="2547" priority="65">
      <formula>S$9&gt;=20/24</formula>
    </cfRule>
  </conditionalFormatting>
  <conditionalFormatting sqref="T248">
    <cfRule type="expression" dxfId="2546" priority="184">
      <formula>AX$9&lt;8/24</formula>
    </cfRule>
    <cfRule type="expression" dxfId="2545" priority="181">
      <formula>AX$9&gt;=20/24</formula>
    </cfRule>
    <cfRule type="expression" dxfId="2544" priority="182">
      <formula>AND(AX$9&gt;=14/24,AX$9&lt;20/24)</formula>
    </cfRule>
    <cfRule type="expression" dxfId="2543" priority="183">
      <formula>AND(AX$9&gt;=8/24,AX$9&lt;14/24)</formula>
    </cfRule>
  </conditionalFormatting>
  <conditionalFormatting sqref="V3 AB3">
    <cfRule type="iconSet" priority="168">
      <iconSet iconSet="3TrafficLights2" reverse="1">
        <cfvo type="percent" val="0"/>
        <cfvo type="num" val="1"/>
        <cfvo type="num" val="1"/>
      </iconSet>
    </cfRule>
  </conditionalFormatting>
  <conditionalFormatting sqref="W11:AA16 B11:D18 M11:V45 E12:I18 J12:J43 K15:L43 B19:I43 B44:L45">
    <cfRule type="expression" dxfId="2542" priority="19">
      <formula>B$9&gt;=20/24</formula>
    </cfRule>
    <cfRule type="expression" dxfId="2541" priority="20">
      <formula>AND(B$9&gt;=14/24,B$9&lt;20/24)</formula>
    </cfRule>
    <cfRule type="expression" dxfId="2540" priority="22">
      <formula>B$9&lt;8/24</formula>
    </cfRule>
    <cfRule type="expression" dxfId="2539" priority="21">
      <formula>AND(B$9&gt;=8/24,B$9&lt;14/24)</formula>
    </cfRule>
  </conditionalFormatting>
  <conditionalFormatting sqref="W46:AF49 M48 N48:V49 E49:M49">
    <cfRule type="expression" dxfId="2538" priority="76">
      <formula>E$9&lt;8/24</formula>
    </cfRule>
  </conditionalFormatting>
  <conditionalFormatting sqref="AB8">
    <cfRule type="expression" dxfId="2537" priority="155">
      <formula>AD$9&lt;8/24</formula>
    </cfRule>
    <cfRule type="expression" dxfId="2536" priority="152">
      <formula>AD$9&gt;=20/24</formula>
    </cfRule>
    <cfRule type="expression" dxfId="2535" priority="153">
      <formula>AND(AD$9&gt;=14/24,AD$9&lt;20/24)</formula>
    </cfRule>
    <cfRule type="expression" dxfId="2534" priority="154">
      <formula>AND(AD$9&gt;=8/24,AD$9&lt;14/24)</formula>
    </cfRule>
  </conditionalFormatting>
  <conditionalFormatting sqref="AB11:AF47 W17:AA47 E11:K11 L11:L14 K12:K14">
    <cfRule type="expression" dxfId="2533" priority="77">
      <formula>E11&gt;$AG11</formula>
    </cfRule>
  </conditionalFormatting>
  <conditionalFormatting sqref="AG50">
    <cfRule type="expression" dxfId="2532" priority="139">
      <formula>AG50&gt;$AG50</formula>
    </cfRule>
  </conditionalFormatting>
  <conditionalFormatting sqref="AG89">
    <cfRule type="expression" dxfId="2531" priority="140">
      <formula>AG$9&gt;=20/24</formula>
    </cfRule>
    <cfRule type="expression" dxfId="2530" priority="141">
      <formula>AND(AG$9&gt;=14/24,AG$9&lt;20/24)</formula>
    </cfRule>
    <cfRule type="expression" dxfId="2529" priority="143">
      <formula>AG$9&lt;8/24</formula>
    </cfRule>
    <cfRule type="expression" dxfId="2528" priority="142">
      <formula>AND(AG$9&gt;=8/24,AG$9&lt;14/24)</formula>
    </cfRule>
  </conditionalFormatting>
  <conditionalFormatting sqref="AG248">
    <cfRule type="expression" dxfId="2527" priority="176">
      <formula>B$9&lt;8/24</formula>
    </cfRule>
    <cfRule type="expression" dxfId="2526" priority="173">
      <formula>B$9&gt;=20/24</formula>
    </cfRule>
    <cfRule type="expression" dxfId="2525" priority="174">
      <formula>AND(B$9&gt;=14/24,B$9&lt;20/24)</formula>
    </cfRule>
    <cfRule type="expression" dxfId="2524" priority="175">
      <formula>AND(B$9&gt;=8/24,B$9&lt;14/24)</formula>
    </cfRule>
  </conditionalFormatting>
  <conditionalFormatting sqref="AH248:AX248">
    <cfRule type="expression" dxfId="2523" priority="177">
      <formula>AG$9&gt;=20/24</formula>
    </cfRule>
    <cfRule type="expression" dxfId="2522" priority="178">
      <formula>AND(AG$9&gt;=14/24,AG$9&lt;20/24)</formula>
    </cfRule>
    <cfRule type="expression" dxfId="2521" priority="179">
      <formula>AND(AG$9&gt;=8/24,AG$9&lt;14/24)</formula>
    </cfRule>
    <cfRule type="expression" dxfId="2520" priority="180">
      <formula>AG$9&lt;8/24</formula>
    </cfRule>
  </conditionalFormatting>
  <conditionalFormatting sqref="AL4:AL6">
    <cfRule type="iconSet" priority="162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22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7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21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6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61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60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20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5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519" priority="186">
      <formula>AJ$9&gt;=20/24</formula>
    </cfRule>
    <cfRule type="expression" dxfId="2518" priority="187">
      <formula>AND(AJ$9&gt;=14/24,AJ$9&lt;20/24)</formula>
    </cfRule>
    <cfRule type="expression" dxfId="2517" priority="188">
      <formula>AND(AJ$9&gt;=8/24,AJ$9&lt;14/24)</formula>
    </cfRule>
    <cfRule type="expression" dxfId="2516" priority="189">
      <formula>AJ$9&lt;8/24</formula>
    </cfRule>
  </conditionalFormatting>
  <conditionalFormatting sqref="AL80:AN80 AL86:AN86">
    <cfRule type="expression" dxfId="2515" priority="130">
      <formula>AL$9&lt;8/24</formula>
    </cfRule>
    <cfRule type="expression" dxfId="2514" priority="129">
      <formula>AND(AL$9&gt;=8/24,AL$9&lt;14/24)</formula>
    </cfRule>
    <cfRule type="expression" dxfId="2513" priority="127">
      <formula>AL$9&gt;=20/24</formula>
    </cfRule>
    <cfRule type="expression" dxfId="2512" priority="128">
      <formula>AND(AL$9&gt;=14/24,AL$9&lt;20/24)</formula>
    </cfRule>
  </conditionalFormatting>
  <conditionalFormatting sqref="AN81:AN84">
    <cfRule type="expression" dxfId="2511" priority="126">
      <formula>AN$9&lt;8/24</formula>
    </cfRule>
    <cfRule type="expression" dxfId="2510" priority="125">
      <formula>AND(AN$9&gt;=8/24,AN$9&lt;14/24)</formula>
    </cfRule>
    <cfRule type="expression" dxfId="2509" priority="124">
      <formula>AND(AN$9&gt;=14/24,AN$9&lt;20/24)</formula>
    </cfRule>
    <cfRule type="expression" dxfId="2508" priority="123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80E04-7702-4BC8-AFE7-EC2D7E6A8CED}">
  <sheetPr codeName="Sheet15"/>
  <dimension ref="A1:CJ281"/>
  <sheetViews>
    <sheetView workbookViewId="0">
      <pane xSplit="1" ySplit="10" topLeftCell="G6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7.570312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2080/05/13</v>
      </c>
      <c r="C4" s="196"/>
      <c r="D4" s="196"/>
      <c r="E4" s="197" t="str">
        <f ca="1">"2080/"&amp;"05/"&amp;INT(MID(CELL("filename",G6),FIND("]",CELL("filename",G6))+1,200))</f>
        <v>2080/05/13</v>
      </c>
      <c r="F4" s="197"/>
      <c r="G4" s="197"/>
      <c r="H4" s="197" t="str">
        <f ca="1">TEXT(E4,"dddd")</f>
        <v>Monday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10</v>
      </c>
      <c r="U5" s="30">
        <f t="shared" si="0"/>
        <v>10</v>
      </c>
      <c r="V5" s="30">
        <f t="shared" si="0"/>
        <v>10</v>
      </c>
      <c r="W5" s="30">
        <f t="shared" si="0"/>
        <v>10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23.5</v>
      </c>
      <c r="AB5" s="30">
        <f t="shared" si="0"/>
        <v>20.399999999999999</v>
      </c>
      <c r="AC5" s="30">
        <f t="shared" si="0"/>
        <v>5</v>
      </c>
      <c r="AD5" s="30">
        <f t="shared" si="0"/>
        <v>5</v>
      </c>
      <c r="AE5" s="30">
        <f t="shared" si="0"/>
        <v>5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2015MW at 7:00hr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1991.2400000000002</v>
      </c>
      <c r="C7" s="35">
        <f t="shared" si="1"/>
        <v>2001.64</v>
      </c>
      <c r="D7" s="35">
        <f t="shared" si="1"/>
        <v>1979.94</v>
      </c>
      <c r="E7" s="35">
        <f t="shared" si="1"/>
        <v>1974.44</v>
      </c>
      <c r="F7" s="35">
        <f t="shared" si="1"/>
        <v>1960.14</v>
      </c>
      <c r="G7" s="35">
        <f t="shared" si="1"/>
        <v>1972.0400000000002</v>
      </c>
      <c r="H7" s="35">
        <f t="shared" si="1"/>
        <v>1993.8400000000001</v>
      </c>
      <c r="I7" s="35">
        <f t="shared" si="1"/>
        <v>2001.44</v>
      </c>
      <c r="J7" s="35">
        <f t="shared" si="1"/>
        <v>1984.24</v>
      </c>
      <c r="K7" s="35">
        <f t="shared" si="1"/>
        <v>2014.6399999999999</v>
      </c>
      <c r="L7" s="35">
        <f t="shared" si="1"/>
        <v>1975.34</v>
      </c>
      <c r="M7" s="35">
        <f t="shared" si="1"/>
        <v>1945.44</v>
      </c>
      <c r="N7" s="35">
        <f>N91</f>
        <v>1952.74</v>
      </c>
      <c r="O7" s="35">
        <f t="shared" si="1"/>
        <v>1995.94</v>
      </c>
      <c r="P7" s="35">
        <f t="shared" si="1"/>
        <v>1965.4399999999998</v>
      </c>
      <c r="Q7" s="35">
        <f t="shared" si="1"/>
        <v>1959.0400000000004</v>
      </c>
      <c r="R7" s="35">
        <f t="shared" si="1"/>
        <v>1963.3400000000001</v>
      </c>
      <c r="S7" s="35">
        <f t="shared" si="1"/>
        <v>1973.3399999999997</v>
      </c>
      <c r="T7" s="35">
        <f t="shared" si="1"/>
        <v>1968.34</v>
      </c>
      <c r="U7" s="35">
        <f t="shared" si="1"/>
        <v>1896.8400000000001</v>
      </c>
      <c r="V7" s="35">
        <f t="shared" si="1"/>
        <v>1935.2799999999997</v>
      </c>
      <c r="W7" s="35">
        <f t="shared" si="1"/>
        <v>1950.44</v>
      </c>
      <c r="X7" s="35">
        <f t="shared" si="1"/>
        <v>1986.74</v>
      </c>
      <c r="Y7" s="35">
        <f t="shared" si="1"/>
        <v>1979.74</v>
      </c>
      <c r="Z7" s="35">
        <f t="shared" si="1"/>
        <v>3.54</v>
      </c>
      <c r="AA7" s="35">
        <f t="shared" si="1"/>
        <v>3.54</v>
      </c>
      <c r="AB7" s="35">
        <f t="shared" si="1"/>
        <v>2016.54</v>
      </c>
      <c r="AC7" s="35">
        <f t="shared" si="1"/>
        <v>2019.44</v>
      </c>
      <c r="AD7" s="35">
        <f t="shared" si="1"/>
        <v>2004.04</v>
      </c>
      <c r="AE7" s="35">
        <f t="shared" si="1"/>
        <v>1980.24</v>
      </c>
      <c r="AF7" s="35">
        <f t="shared" si="1"/>
        <v>1960.24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90.3</v>
      </c>
      <c r="X11" s="45">
        <v>90.3</v>
      </c>
      <c r="Y11" s="45">
        <v>90.3</v>
      </c>
      <c r="Z11" s="45"/>
      <c r="AA11" s="45"/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9</v>
      </c>
      <c r="J12" s="45">
        <v>9</v>
      </c>
      <c r="K12" s="45">
        <v>9</v>
      </c>
      <c r="L12" s="45">
        <v>9</v>
      </c>
      <c r="M12" s="45">
        <v>0</v>
      </c>
      <c r="N12" s="45">
        <v>0</v>
      </c>
      <c r="O12" s="45">
        <v>0</v>
      </c>
      <c r="P12" s="45">
        <v>0</v>
      </c>
      <c r="Q12" s="45">
        <v>5</v>
      </c>
      <c r="R12" s="45">
        <v>5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/>
      <c r="AA12" s="45"/>
      <c r="AB12" s="45">
        <v>13</v>
      </c>
      <c r="AC12" s="45">
        <v>13</v>
      </c>
      <c r="AD12" s="45">
        <v>13</v>
      </c>
      <c r="AE12" s="45">
        <v>5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54.6</v>
      </c>
      <c r="C13" s="45">
        <v>54.6</v>
      </c>
      <c r="D13" s="45">
        <v>54.6</v>
      </c>
      <c r="E13" s="45">
        <v>54.6</v>
      </c>
      <c r="F13" s="45">
        <v>54.6</v>
      </c>
      <c r="G13" s="45">
        <v>54.6</v>
      </c>
      <c r="H13" s="45">
        <v>54.6</v>
      </c>
      <c r="I13" s="45">
        <v>54.6</v>
      </c>
      <c r="J13" s="45">
        <v>54.6</v>
      </c>
      <c r="K13" s="45">
        <v>54.6</v>
      </c>
      <c r="L13" s="45">
        <v>54.6</v>
      </c>
      <c r="M13" s="45">
        <v>54.6</v>
      </c>
      <c r="N13" s="45">
        <v>54.6</v>
      </c>
      <c r="O13" s="45">
        <v>54.6</v>
      </c>
      <c r="P13" s="45">
        <v>54.6</v>
      </c>
      <c r="Q13" s="45">
        <v>54.6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54.5</v>
      </c>
      <c r="X13" s="45">
        <v>54.5</v>
      </c>
      <c r="Y13" s="45">
        <v>54.5</v>
      </c>
      <c r="Z13" s="45"/>
      <c r="AA13" s="45"/>
      <c r="AB13" s="45">
        <v>54.5</v>
      </c>
      <c r="AC13" s="45">
        <v>54.5</v>
      </c>
      <c r="AD13" s="45">
        <v>54.5</v>
      </c>
      <c r="AE13" s="45">
        <v>23</v>
      </c>
      <c r="AF13" s="45">
        <v>24.1</v>
      </c>
      <c r="AG13" s="46">
        <v>52.4</v>
      </c>
      <c r="AH13" s="47">
        <f t="shared" si="2"/>
        <v>54.6</v>
      </c>
      <c r="AI13" s="48">
        <f t="shared" si="3"/>
        <v>23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50.4</v>
      </c>
      <c r="C14" s="45">
        <v>50.4</v>
      </c>
      <c r="D14" s="45">
        <v>50.4</v>
      </c>
      <c r="E14" s="45">
        <v>50.4</v>
      </c>
      <c r="F14" s="45">
        <v>50.4</v>
      </c>
      <c r="G14" s="45">
        <v>50.4</v>
      </c>
      <c r="H14" s="45">
        <v>50.4</v>
      </c>
      <c r="I14" s="45">
        <v>50.4</v>
      </c>
      <c r="J14" s="45">
        <v>50.4</v>
      </c>
      <c r="K14" s="45">
        <v>50.4</v>
      </c>
      <c r="L14" s="45">
        <v>50.4</v>
      </c>
      <c r="M14" s="45">
        <v>50.4</v>
      </c>
      <c r="N14" s="45">
        <v>50.4</v>
      </c>
      <c r="O14" s="45">
        <v>50.4</v>
      </c>
      <c r="P14" s="45">
        <v>50.4</v>
      </c>
      <c r="Q14" s="45">
        <v>50.4</v>
      </c>
      <c r="R14" s="45">
        <v>50.4</v>
      </c>
      <c r="S14" s="58">
        <v>50.5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45"/>
      <c r="AA14" s="45"/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50.6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39.200000000000003</v>
      </c>
      <c r="C15" s="45">
        <v>39.200000000000003</v>
      </c>
      <c r="D15" s="45">
        <v>39.200000000000003</v>
      </c>
      <c r="E15" s="45">
        <v>39.200000000000003</v>
      </c>
      <c r="F15" s="45">
        <v>39.200000000000003</v>
      </c>
      <c r="G15" s="45">
        <v>39.200000000000003</v>
      </c>
      <c r="H15" s="45">
        <v>39.200000000000003</v>
      </c>
      <c r="I15" s="45">
        <v>39.200000000000003</v>
      </c>
      <c r="J15" s="45">
        <v>39.200000000000003</v>
      </c>
      <c r="K15" s="45">
        <v>39.200000000000003</v>
      </c>
      <c r="L15" s="45">
        <v>39.200000000000003</v>
      </c>
      <c r="M15" s="45">
        <v>39.200000000000003</v>
      </c>
      <c r="N15" s="45">
        <v>39.200000000000003</v>
      </c>
      <c r="O15" s="45">
        <v>39.200000000000003</v>
      </c>
      <c r="P15" s="45">
        <v>39.200000000000003</v>
      </c>
      <c r="Q15" s="45">
        <v>39.200000000000003</v>
      </c>
      <c r="R15" s="45">
        <v>39.200000000000003</v>
      </c>
      <c r="S15" s="45">
        <v>39.200000000000003</v>
      </c>
      <c r="T15" s="45">
        <v>37.5</v>
      </c>
      <c r="U15" s="45">
        <v>37.5</v>
      </c>
      <c r="V15" s="45">
        <v>37.5</v>
      </c>
      <c r="W15" s="45">
        <v>37.6</v>
      </c>
      <c r="X15" s="45">
        <v>37.6</v>
      </c>
      <c r="Y15" s="45">
        <v>37.6</v>
      </c>
      <c r="Z15" s="45"/>
      <c r="AA15" s="45"/>
      <c r="AB15" s="45">
        <v>0</v>
      </c>
      <c r="AC15" s="45">
        <v>0</v>
      </c>
      <c r="AD15" s="45">
        <v>0</v>
      </c>
      <c r="AE15" s="45">
        <v>37.700000000000003</v>
      </c>
      <c r="AF15" s="45">
        <v>37.700000000000003</v>
      </c>
      <c r="AG15" s="49">
        <v>45</v>
      </c>
      <c r="AH15" s="47">
        <f t="shared" si="2"/>
        <v>39.200000000000003</v>
      </c>
      <c r="AI15" s="48">
        <f t="shared" si="3"/>
        <v>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/>
      <c r="AA16" s="45"/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24</v>
      </c>
      <c r="C17" s="45">
        <v>24</v>
      </c>
      <c r="D17" s="45">
        <v>24</v>
      </c>
      <c r="E17" s="45">
        <v>24</v>
      </c>
      <c r="F17" s="45">
        <v>24</v>
      </c>
      <c r="G17" s="45">
        <v>24</v>
      </c>
      <c r="H17" s="45">
        <v>24</v>
      </c>
      <c r="I17" s="45">
        <v>24</v>
      </c>
      <c r="J17" s="45">
        <v>24</v>
      </c>
      <c r="K17" s="45">
        <v>24</v>
      </c>
      <c r="L17" s="45">
        <v>24</v>
      </c>
      <c r="M17" s="45">
        <v>24</v>
      </c>
      <c r="N17" s="45">
        <v>24</v>
      </c>
      <c r="O17" s="45">
        <v>24</v>
      </c>
      <c r="P17" s="45">
        <v>24</v>
      </c>
      <c r="Q17" s="45">
        <v>24</v>
      </c>
      <c r="R17" s="45">
        <v>24</v>
      </c>
      <c r="S17" s="45">
        <v>28.4</v>
      </c>
      <c r="T17" s="45">
        <v>28.4</v>
      </c>
      <c r="U17" s="45">
        <v>28.4</v>
      </c>
      <c r="V17" s="45">
        <v>28.4</v>
      </c>
      <c r="W17" s="45">
        <v>28.4</v>
      </c>
      <c r="X17" s="45">
        <v>28.4</v>
      </c>
      <c r="Y17" s="45">
        <v>28.4</v>
      </c>
      <c r="Z17" s="45"/>
      <c r="AA17" s="45"/>
      <c r="AB17" s="45">
        <v>28.4</v>
      </c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28.4</v>
      </c>
      <c r="AI17" s="48">
        <f t="shared" si="3"/>
        <v>24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35</v>
      </c>
      <c r="F18" s="45">
        <v>35</v>
      </c>
      <c r="G18" s="45">
        <v>35</v>
      </c>
      <c r="H18" s="45">
        <v>35</v>
      </c>
      <c r="I18" s="45">
        <v>35</v>
      </c>
      <c r="J18" s="45">
        <v>35</v>
      </c>
      <c r="K18" s="45">
        <v>35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35</v>
      </c>
      <c r="R18" s="45">
        <v>35</v>
      </c>
      <c r="S18" s="45">
        <v>38.299999999999997</v>
      </c>
      <c r="T18" s="45">
        <v>38.299999999999997</v>
      </c>
      <c r="U18" s="45">
        <v>0</v>
      </c>
      <c r="V18" s="45">
        <v>38.299999999999997</v>
      </c>
      <c r="W18" s="45">
        <v>38.299999999999997</v>
      </c>
      <c r="X18" s="45">
        <v>38.299999999999997</v>
      </c>
      <c r="Y18" s="45">
        <v>38.299999999999997</v>
      </c>
      <c r="Z18" s="45"/>
      <c r="AA18" s="45"/>
      <c r="AB18" s="45">
        <v>38.299999999999997</v>
      </c>
      <c r="AC18" s="45">
        <v>38.299999999999997</v>
      </c>
      <c r="AD18" s="45">
        <v>38.299999999999997</v>
      </c>
      <c r="AE18" s="45">
        <v>38.299999999999997</v>
      </c>
      <c r="AF18" s="45">
        <v>38.299999999999997</v>
      </c>
      <c r="AG18" s="49">
        <v>38.46</v>
      </c>
      <c r="AH18" s="47">
        <f t="shared" si="2"/>
        <v>38.299999999999997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25</v>
      </c>
      <c r="W19" s="45">
        <v>25</v>
      </c>
      <c r="X19" s="45">
        <v>25</v>
      </c>
      <c r="Y19" s="45">
        <v>25</v>
      </c>
      <c r="Z19" s="45"/>
      <c r="AA19" s="45"/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25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>
        <v>5</v>
      </c>
      <c r="K20" s="45">
        <v>5</v>
      </c>
      <c r="L20" s="45">
        <v>5</v>
      </c>
      <c r="M20" s="45">
        <v>0</v>
      </c>
      <c r="N20" s="45">
        <v>0</v>
      </c>
      <c r="O20" s="45">
        <v>0</v>
      </c>
      <c r="P20" s="45">
        <v>0</v>
      </c>
      <c r="Q20" s="45">
        <v>10.199999999999999</v>
      </c>
      <c r="R20" s="45">
        <v>10.199999999999999</v>
      </c>
      <c r="S20" s="45">
        <v>0</v>
      </c>
      <c r="T20" s="45">
        <v>0</v>
      </c>
      <c r="U20" s="45">
        <v>0</v>
      </c>
      <c r="V20" s="45">
        <v>5</v>
      </c>
      <c r="W20" s="45">
        <v>0</v>
      </c>
      <c r="X20" s="45">
        <v>0</v>
      </c>
      <c r="Y20" s="45">
        <v>0</v>
      </c>
      <c r="Z20" s="45"/>
      <c r="AA20" s="45"/>
      <c r="AB20" s="45">
        <v>14.7</v>
      </c>
      <c r="AC20" s="45">
        <v>14.7</v>
      </c>
      <c r="AD20" s="45">
        <v>14.7</v>
      </c>
      <c r="AE20" s="45">
        <v>5</v>
      </c>
      <c r="AF20" s="45">
        <v>0</v>
      </c>
      <c r="AG20" s="51">
        <v>30</v>
      </c>
      <c r="AH20" s="47">
        <f t="shared" si="2"/>
        <v>14.7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20</v>
      </c>
      <c r="Q21" s="45">
        <v>20</v>
      </c>
      <c r="R21" s="45">
        <v>20</v>
      </c>
      <c r="S21" s="45">
        <v>26</v>
      </c>
      <c r="T21" s="45">
        <v>26</v>
      </c>
      <c r="U21" s="45">
        <v>26</v>
      </c>
      <c r="V21" s="45">
        <v>15</v>
      </c>
      <c r="W21" s="45">
        <v>15</v>
      </c>
      <c r="X21" s="45">
        <v>15</v>
      </c>
      <c r="Y21" s="45">
        <v>15</v>
      </c>
      <c r="Z21" s="45"/>
      <c r="AA21" s="45"/>
      <c r="AB21" s="45">
        <v>15</v>
      </c>
      <c r="AC21" s="45">
        <v>15</v>
      </c>
      <c r="AD21" s="45">
        <v>15</v>
      </c>
      <c r="AE21" s="45">
        <v>26</v>
      </c>
      <c r="AF21" s="45">
        <v>26</v>
      </c>
      <c r="AG21" s="49">
        <v>24.2</v>
      </c>
      <c r="AH21" s="47">
        <f t="shared" si="2"/>
        <v>26</v>
      </c>
      <c r="AI21" s="48">
        <f t="shared" si="3"/>
        <v>15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20</v>
      </c>
      <c r="O22" s="45">
        <v>20</v>
      </c>
      <c r="P22" s="45">
        <v>20</v>
      </c>
      <c r="Q22" s="45">
        <v>20</v>
      </c>
      <c r="R22" s="45">
        <v>20</v>
      </c>
      <c r="S22" s="45">
        <v>20</v>
      </c>
      <c r="T22" s="45">
        <v>20</v>
      </c>
      <c r="U22" s="45">
        <v>20</v>
      </c>
      <c r="V22" s="45">
        <v>15</v>
      </c>
      <c r="W22" s="45">
        <v>15</v>
      </c>
      <c r="X22" s="45">
        <v>15</v>
      </c>
      <c r="Y22" s="45">
        <v>15</v>
      </c>
      <c r="Z22" s="45"/>
      <c r="AA22" s="45"/>
      <c r="AB22" s="45">
        <v>15</v>
      </c>
      <c r="AC22" s="45">
        <v>15</v>
      </c>
      <c r="AD22" s="45">
        <v>15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15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4.5</v>
      </c>
      <c r="J23" s="45">
        <v>4.5</v>
      </c>
      <c r="K23" s="45">
        <v>4.5</v>
      </c>
      <c r="L23" s="45">
        <v>4.5</v>
      </c>
      <c r="M23" s="45">
        <v>0</v>
      </c>
      <c r="N23" s="45">
        <v>0</v>
      </c>
      <c r="O23" s="45">
        <v>0</v>
      </c>
      <c r="P23" s="45">
        <v>0</v>
      </c>
      <c r="Q23" s="45">
        <v>5</v>
      </c>
      <c r="R23" s="45">
        <v>5</v>
      </c>
      <c r="S23" s="45">
        <v>0</v>
      </c>
      <c r="T23" s="45">
        <v>0</v>
      </c>
      <c r="U23" s="45">
        <v>0</v>
      </c>
      <c r="V23" s="45">
        <v>3</v>
      </c>
      <c r="W23" s="45">
        <v>0</v>
      </c>
      <c r="X23" s="45">
        <v>0</v>
      </c>
      <c r="Y23" s="45">
        <v>0</v>
      </c>
      <c r="Z23" s="45"/>
      <c r="AA23" s="45"/>
      <c r="AB23" s="45">
        <v>18</v>
      </c>
      <c r="AC23" s="45">
        <v>18</v>
      </c>
      <c r="AD23" s="45">
        <v>18</v>
      </c>
      <c r="AE23" s="45">
        <v>5</v>
      </c>
      <c r="AF23" s="45">
        <v>0</v>
      </c>
      <c r="AG23" s="51">
        <v>30</v>
      </c>
      <c r="AH23" s="47">
        <f t="shared" si="2"/>
        <v>18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24.3</v>
      </c>
      <c r="D24" s="45">
        <v>24.3</v>
      </c>
      <c r="E24" s="45">
        <v>24.3</v>
      </c>
      <c r="F24" s="45">
        <v>24.3</v>
      </c>
      <c r="G24" s="45">
        <v>24.3</v>
      </c>
      <c r="H24" s="45">
        <v>24.3</v>
      </c>
      <c r="I24" s="45">
        <v>24.3</v>
      </c>
      <c r="J24" s="45">
        <v>24.3</v>
      </c>
      <c r="K24" s="45">
        <v>24.3</v>
      </c>
      <c r="L24" s="45">
        <v>24.3</v>
      </c>
      <c r="M24" s="45">
        <v>24.3</v>
      </c>
      <c r="N24" s="45">
        <v>24.3</v>
      </c>
      <c r="O24" s="45">
        <v>24.3</v>
      </c>
      <c r="P24" s="45">
        <v>24.3</v>
      </c>
      <c r="Q24" s="45">
        <v>24.3</v>
      </c>
      <c r="R24" s="45">
        <v>24.3</v>
      </c>
      <c r="S24" s="45">
        <v>24.6</v>
      </c>
      <c r="T24" s="45">
        <v>24.6</v>
      </c>
      <c r="U24" s="45">
        <v>24.6</v>
      </c>
      <c r="V24" s="45">
        <v>24.6</v>
      </c>
      <c r="W24" s="45">
        <v>24</v>
      </c>
      <c r="X24" s="45">
        <v>24</v>
      </c>
      <c r="Y24" s="45">
        <v>24</v>
      </c>
      <c r="Z24" s="45"/>
      <c r="AA24" s="45"/>
      <c r="AB24" s="45">
        <v>24</v>
      </c>
      <c r="AC24" s="45">
        <v>24</v>
      </c>
      <c r="AD24" s="45">
        <v>24</v>
      </c>
      <c r="AE24" s="45">
        <v>24.3</v>
      </c>
      <c r="AF24" s="45">
        <v>24.2</v>
      </c>
      <c r="AG24" s="49">
        <v>25</v>
      </c>
      <c r="AH24" s="47">
        <f t="shared" si="2"/>
        <v>24.6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/>
      <c r="AA25" s="45"/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/>
      <c r="AA26" s="45"/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9">
        <v>25</v>
      </c>
      <c r="AH26" s="47">
        <f t="shared" si="2"/>
        <v>25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4.2</v>
      </c>
      <c r="J27" s="45">
        <v>4.2</v>
      </c>
      <c r="K27" s="45">
        <v>4.2</v>
      </c>
      <c r="L27" s="45">
        <v>4.2</v>
      </c>
      <c r="M27" s="45">
        <v>4.2</v>
      </c>
      <c r="N27" s="45">
        <v>4.2</v>
      </c>
      <c r="O27" s="45">
        <v>4.2</v>
      </c>
      <c r="P27" s="45">
        <v>4.2</v>
      </c>
      <c r="Q27" s="45">
        <v>4.2</v>
      </c>
      <c r="R27" s="45">
        <v>4.2</v>
      </c>
      <c r="S27" s="45">
        <v>0</v>
      </c>
      <c r="T27" s="45">
        <v>0</v>
      </c>
      <c r="U27" s="45">
        <v>0</v>
      </c>
      <c r="V27" s="45">
        <v>3</v>
      </c>
      <c r="W27" s="45">
        <v>0</v>
      </c>
      <c r="X27" s="45">
        <v>0</v>
      </c>
      <c r="Y27" s="45">
        <v>0</v>
      </c>
      <c r="Z27" s="45"/>
      <c r="AA27" s="45"/>
      <c r="AB27" s="45">
        <v>15</v>
      </c>
      <c r="AC27" s="45">
        <v>15</v>
      </c>
      <c r="AD27" s="45">
        <v>15</v>
      </c>
      <c r="AE27" s="45">
        <v>4</v>
      </c>
      <c r="AF27" s="45">
        <v>0</v>
      </c>
      <c r="AG27" s="49">
        <v>25</v>
      </c>
      <c r="AH27" s="47">
        <f t="shared" si="2"/>
        <v>15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26</v>
      </c>
      <c r="T28" s="45">
        <v>26</v>
      </c>
      <c r="U28" s="45">
        <v>26</v>
      </c>
      <c r="V28" s="45">
        <v>26</v>
      </c>
      <c r="W28" s="45">
        <v>24.9</v>
      </c>
      <c r="X28" s="45">
        <v>24.9</v>
      </c>
      <c r="Y28" s="45">
        <v>24.9</v>
      </c>
      <c r="Z28" s="45"/>
      <c r="AA28" s="45"/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26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/>
      <c r="AA29" s="45"/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/>
      <c r="AA30" s="45"/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/>
      <c r="AA31" s="45"/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/>
      <c r="AA32" s="45"/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/>
      <c r="AA33" s="45"/>
      <c r="AB33" s="45">
        <v>4</v>
      </c>
      <c r="AC33" s="45">
        <v>4</v>
      </c>
      <c r="AD33" s="45">
        <v>4</v>
      </c>
      <c r="AE33" s="45">
        <v>0</v>
      </c>
      <c r="AF33" s="45">
        <v>0</v>
      </c>
      <c r="AG33" s="49">
        <v>20</v>
      </c>
      <c r="AH33" s="47">
        <f t="shared" si="2"/>
        <v>4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4</v>
      </c>
      <c r="I34" s="45">
        <v>4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/>
      <c r="AA34" s="45"/>
      <c r="AB34" s="45">
        <v>4</v>
      </c>
      <c r="AC34" s="45">
        <v>4</v>
      </c>
      <c r="AD34" s="45">
        <v>4</v>
      </c>
      <c r="AE34" s="45">
        <v>0</v>
      </c>
      <c r="AF34" s="45">
        <v>0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13.5</v>
      </c>
      <c r="F35" s="45">
        <v>13.5</v>
      </c>
      <c r="G35" s="45">
        <v>13.5</v>
      </c>
      <c r="H35" s="45">
        <v>13.5</v>
      </c>
      <c r="I35" s="45">
        <v>13.5</v>
      </c>
      <c r="J35" s="45">
        <v>13.5</v>
      </c>
      <c r="K35" s="45">
        <v>13.5</v>
      </c>
      <c r="L35" s="45">
        <v>13.5</v>
      </c>
      <c r="M35" s="45">
        <v>13.5</v>
      </c>
      <c r="N35" s="45">
        <v>13.5</v>
      </c>
      <c r="O35" s="45">
        <v>13.5</v>
      </c>
      <c r="P35" s="45">
        <v>13.5</v>
      </c>
      <c r="Q35" s="45">
        <v>13.5</v>
      </c>
      <c r="R35" s="45">
        <v>13.5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/>
      <c r="AA35" s="45"/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13.5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/>
      <c r="AA36" s="45"/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6.2</v>
      </c>
      <c r="X37" s="45">
        <v>6.2</v>
      </c>
      <c r="Y37" s="45">
        <v>6.2</v>
      </c>
      <c r="Z37" s="45"/>
      <c r="AA37" s="45"/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6.5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/>
      <c r="AA38" s="45"/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2</v>
      </c>
      <c r="J39" s="45">
        <v>2</v>
      </c>
      <c r="K39" s="45">
        <v>2</v>
      </c>
      <c r="L39" s="45">
        <v>2</v>
      </c>
      <c r="M39" s="45">
        <v>0</v>
      </c>
      <c r="N39" s="45">
        <v>0</v>
      </c>
      <c r="O39" s="45">
        <v>0</v>
      </c>
      <c r="P39" s="45">
        <v>0</v>
      </c>
      <c r="Q39" s="45">
        <v>3</v>
      </c>
      <c r="R39" s="45">
        <v>3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/>
      <c r="AA39" s="45"/>
      <c r="AB39" s="45">
        <v>0</v>
      </c>
      <c r="AC39" s="45">
        <v>6</v>
      </c>
      <c r="AD39" s="45">
        <v>6</v>
      </c>
      <c r="AE39" s="45">
        <v>2</v>
      </c>
      <c r="AF39" s="45">
        <v>0</v>
      </c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/>
      <c r="AA40" s="45"/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/>
      <c r="AA41" s="45"/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/>
      <c r="AA42" s="45"/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/>
      <c r="AA43" s="45"/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/>
      <c r="AA44" s="45"/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/>
      <c r="AA45" s="45"/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0</v>
      </c>
      <c r="V46" s="45">
        <v>9</v>
      </c>
      <c r="W46" s="45">
        <v>9</v>
      </c>
      <c r="X46" s="45">
        <v>9</v>
      </c>
      <c r="Y46" s="45">
        <v>9</v>
      </c>
      <c r="Z46" s="45"/>
      <c r="AA46" s="45"/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10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/>
      <c r="AA47" s="45"/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/>
      <c r="AA48" s="56"/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f>81.6+30</f>
        <v>111.6</v>
      </c>
      <c r="C49" s="56">
        <f>81.7+30.1</f>
        <v>111.80000000000001</v>
      </c>
      <c r="D49" s="56">
        <f t="shared" ref="D49:I49" si="4">81.7+30</f>
        <v>111.7</v>
      </c>
      <c r="E49" s="56">
        <f t="shared" si="4"/>
        <v>111.7</v>
      </c>
      <c r="F49" s="56">
        <f t="shared" si="4"/>
        <v>111.7</v>
      </c>
      <c r="G49" s="56">
        <f t="shared" si="4"/>
        <v>111.7</v>
      </c>
      <c r="H49" s="56">
        <f t="shared" si="4"/>
        <v>111.7</v>
      </c>
      <c r="I49" s="56">
        <f t="shared" si="4"/>
        <v>111.7</v>
      </c>
      <c r="J49" s="56">
        <f t="shared" ref="J49:R49" si="5">77.5+26.5</f>
        <v>104</v>
      </c>
      <c r="K49" s="56">
        <f t="shared" si="5"/>
        <v>104</v>
      </c>
      <c r="L49" s="56">
        <f t="shared" si="5"/>
        <v>104</v>
      </c>
      <c r="M49" s="56">
        <f t="shared" si="5"/>
        <v>104</v>
      </c>
      <c r="N49" s="56">
        <f t="shared" si="5"/>
        <v>104</v>
      </c>
      <c r="O49" s="56">
        <f t="shared" si="5"/>
        <v>104</v>
      </c>
      <c r="P49" s="56">
        <f t="shared" si="5"/>
        <v>104</v>
      </c>
      <c r="Q49" s="56">
        <f t="shared" si="5"/>
        <v>104</v>
      </c>
      <c r="R49" s="56">
        <f t="shared" si="5"/>
        <v>104</v>
      </c>
      <c r="S49" s="58">
        <v>112</v>
      </c>
      <c r="T49" s="58">
        <v>112</v>
      </c>
      <c r="U49" s="58">
        <v>112</v>
      </c>
      <c r="V49" s="58">
        <v>112</v>
      </c>
      <c r="W49" s="58">
        <v>111.1</v>
      </c>
      <c r="X49" s="58">
        <v>111.1</v>
      </c>
      <c r="Y49" s="58">
        <v>111.1</v>
      </c>
      <c r="Z49" s="56"/>
      <c r="AA49" s="56"/>
      <c r="AB49" s="56">
        <f>29.8+80.6</f>
        <v>110.39999999999999</v>
      </c>
      <c r="AC49" s="56">
        <f>29.8+80.6</f>
        <v>110.39999999999999</v>
      </c>
      <c r="AD49" s="56">
        <f>29.8+80.6</f>
        <v>110.39999999999999</v>
      </c>
      <c r="AE49" s="56">
        <f>29.8+80.6</f>
        <v>110.39999999999999</v>
      </c>
      <c r="AF49" s="56">
        <f>29.8+80.6</f>
        <v>110.39999999999999</v>
      </c>
      <c r="AG49" s="54">
        <v>240</v>
      </c>
      <c r="AH49" s="47">
        <f t="shared" si="2"/>
        <v>112</v>
      </c>
      <c r="AI49" s="48">
        <f t="shared" si="3"/>
        <v>104</v>
      </c>
      <c r="AK49" s="50"/>
    </row>
    <row r="50" spans="1:41" ht="15.75" thickBot="1" x14ac:dyDescent="0.3">
      <c r="A50" s="59" t="s">
        <v>58</v>
      </c>
      <c r="B50" s="60">
        <f>SUM(B11:B48)</f>
        <v>1077.8</v>
      </c>
      <c r="C50" s="60">
        <f t="shared" ref="C50:AF50" si="6">SUM(C11:C48)</f>
        <v>1077.8</v>
      </c>
      <c r="D50" s="60">
        <f t="shared" si="6"/>
        <v>1077.8</v>
      </c>
      <c r="E50" s="60">
        <f t="shared" si="6"/>
        <v>1072.3</v>
      </c>
      <c r="F50" s="60">
        <f t="shared" si="6"/>
        <v>1072.3</v>
      </c>
      <c r="G50" s="60">
        <f t="shared" si="6"/>
        <v>1072.3</v>
      </c>
      <c r="H50" s="60">
        <f t="shared" si="6"/>
        <v>1080.3</v>
      </c>
      <c r="I50" s="60">
        <f t="shared" si="6"/>
        <v>1105</v>
      </c>
      <c r="J50" s="60">
        <f t="shared" si="6"/>
        <v>1105</v>
      </c>
      <c r="K50" s="60">
        <f t="shared" si="6"/>
        <v>1105</v>
      </c>
      <c r="L50" s="60">
        <f t="shared" si="6"/>
        <v>1105</v>
      </c>
      <c r="M50" s="60">
        <f t="shared" ref="M50:R50" si="7">SUM(M11:M48)</f>
        <v>1084.5</v>
      </c>
      <c r="N50" s="60">
        <f t="shared" si="7"/>
        <v>1084.5</v>
      </c>
      <c r="O50" s="60">
        <f t="shared" si="7"/>
        <v>1084.5</v>
      </c>
      <c r="P50" s="60">
        <f t="shared" si="7"/>
        <v>1084.5</v>
      </c>
      <c r="Q50" s="60">
        <f t="shared" si="7"/>
        <v>1107.7</v>
      </c>
      <c r="R50" s="60">
        <f t="shared" si="7"/>
        <v>1107.7</v>
      </c>
      <c r="S50" s="60">
        <f t="shared" si="6"/>
        <v>1097.0999999999999</v>
      </c>
      <c r="T50" s="60">
        <f t="shared" si="6"/>
        <v>1095.5</v>
      </c>
      <c r="U50" s="60">
        <f t="shared" si="6"/>
        <v>1048.2</v>
      </c>
      <c r="V50" s="60">
        <f t="shared" si="6"/>
        <v>1079.5</v>
      </c>
      <c r="W50" s="60">
        <f t="shared" si="6"/>
        <v>1066.8</v>
      </c>
      <c r="X50" s="60">
        <f t="shared" si="6"/>
        <v>1066.8</v>
      </c>
      <c r="Y50" s="60">
        <f t="shared" si="6"/>
        <v>1066.8</v>
      </c>
      <c r="Z50" s="60">
        <f t="shared" si="6"/>
        <v>0</v>
      </c>
      <c r="AA50" s="60">
        <f t="shared" si="6"/>
        <v>0</v>
      </c>
      <c r="AB50" s="60">
        <f t="shared" si="6"/>
        <v>1075.9000000000001</v>
      </c>
      <c r="AC50" s="60">
        <f t="shared" si="6"/>
        <v>1081.9000000000001</v>
      </c>
      <c r="AD50" s="60">
        <f t="shared" si="6"/>
        <v>1081.9000000000001</v>
      </c>
      <c r="AE50" s="60">
        <f t="shared" si="6"/>
        <v>1059.2</v>
      </c>
      <c r="AF50" s="60">
        <f t="shared" si="6"/>
        <v>1039.2</v>
      </c>
      <c r="AG50" s="61">
        <f>SUM(AG13:AG48)</f>
        <v>922.14</v>
      </c>
      <c r="AH50" s="47">
        <f t="shared" si="2"/>
        <v>1107.7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/>
      <c r="AA51" s="45"/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55</v>
      </c>
      <c r="L52" s="64">
        <v>55</v>
      </c>
      <c r="M52" s="64">
        <v>55</v>
      </c>
      <c r="N52" s="64">
        <v>55</v>
      </c>
      <c r="O52" s="64">
        <v>48</v>
      </c>
      <c r="P52" s="64">
        <v>48</v>
      </c>
      <c r="Q52" s="64">
        <v>48</v>
      </c>
      <c r="R52" s="64">
        <v>48</v>
      </c>
      <c r="S52" s="64">
        <v>48</v>
      </c>
      <c r="T52" s="64">
        <v>48</v>
      </c>
      <c r="U52" s="64">
        <v>48</v>
      </c>
      <c r="V52" s="64">
        <v>48</v>
      </c>
      <c r="W52" s="64">
        <v>48</v>
      </c>
      <c r="X52" s="64">
        <v>48</v>
      </c>
      <c r="Y52" s="64">
        <v>48</v>
      </c>
      <c r="Z52" s="64"/>
      <c r="AA52" s="64"/>
      <c r="AB52" s="64">
        <v>51</v>
      </c>
      <c r="AC52" s="64">
        <v>51</v>
      </c>
      <c r="AD52" s="64">
        <v>51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48</v>
      </c>
      <c r="AK52" s="50"/>
    </row>
    <row r="53" spans="1:41" ht="15.75" thickBot="1" x14ac:dyDescent="0.3">
      <c r="A53" s="65" t="s">
        <v>61</v>
      </c>
      <c r="B53" s="66">
        <v>20.100000000000001</v>
      </c>
      <c r="C53" s="66">
        <v>20.100000000000001</v>
      </c>
      <c r="D53" s="66">
        <v>20.100000000000001</v>
      </c>
      <c r="E53" s="66">
        <v>20.100000000000001</v>
      </c>
      <c r="F53" s="66">
        <v>20.100000000000001</v>
      </c>
      <c r="G53" s="66">
        <v>20.100000000000001</v>
      </c>
      <c r="H53" s="66">
        <v>20.100000000000001</v>
      </c>
      <c r="I53" s="66">
        <v>20.100000000000001</v>
      </c>
      <c r="J53" s="66">
        <v>20.100000000000001</v>
      </c>
      <c r="K53" s="66">
        <v>20.100000000000001</v>
      </c>
      <c r="L53" s="66">
        <v>20.100000000000001</v>
      </c>
      <c r="M53" s="66">
        <v>20.100000000000001</v>
      </c>
      <c r="N53" s="66">
        <v>20.100000000000001</v>
      </c>
      <c r="O53" s="66">
        <v>20.100000000000001</v>
      </c>
      <c r="P53" s="66">
        <v>20.100000000000001</v>
      </c>
      <c r="Q53" s="66">
        <v>20.100000000000001</v>
      </c>
      <c r="R53" s="66">
        <v>20.100000000000001</v>
      </c>
      <c r="S53" s="66">
        <v>20.100000000000001</v>
      </c>
      <c r="T53" s="66">
        <v>20.100000000000001</v>
      </c>
      <c r="U53" s="66">
        <v>20.100000000000001</v>
      </c>
      <c r="V53" s="66">
        <v>20.100000000000001</v>
      </c>
      <c r="W53" s="66">
        <v>20.100000000000001</v>
      </c>
      <c r="X53" s="66">
        <v>20.100000000000001</v>
      </c>
      <c r="Y53" s="66">
        <v>20.100000000000001</v>
      </c>
      <c r="Z53" s="66"/>
      <c r="AA53" s="66"/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f>SUM(B51:B53)</f>
        <v>531.1</v>
      </c>
      <c r="C54" s="60">
        <f t="shared" ref="C54:AG54" si="8">SUM(C51:C53)</f>
        <v>531.1</v>
      </c>
      <c r="D54" s="60">
        <f t="shared" si="8"/>
        <v>531.1</v>
      </c>
      <c r="E54" s="60">
        <f t="shared" si="8"/>
        <v>531.1</v>
      </c>
      <c r="F54" s="60">
        <f t="shared" si="8"/>
        <v>531.1</v>
      </c>
      <c r="G54" s="60">
        <f t="shared" si="8"/>
        <v>531.1</v>
      </c>
      <c r="H54" s="60">
        <f t="shared" si="8"/>
        <v>531.1</v>
      </c>
      <c r="I54" s="60">
        <f t="shared" si="8"/>
        <v>531.1</v>
      </c>
      <c r="J54" s="60">
        <f t="shared" si="8"/>
        <v>531.1</v>
      </c>
      <c r="K54" s="60">
        <f t="shared" si="8"/>
        <v>531.1</v>
      </c>
      <c r="L54" s="60">
        <f t="shared" si="8"/>
        <v>531.1</v>
      </c>
      <c r="M54" s="60">
        <f t="shared" ref="M54:R54" si="9">SUM(M51:M53)</f>
        <v>531.1</v>
      </c>
      <c r="N54" s="60">
        <f t="shared" si="9"/>
        <v>531.1</v>
      </c>
      <c r="O54" s="60">
        <f t="shared" si="9"/>
        <v>524.1</v>
      </c>
      <c r="P54" s="60">
        <f t="shared" si="9"/>
        <v>524.1</v>
      </c>
      <c r="Q54" s="60">
        <f t="shared" si="9"/>
        <v>524.1</v>
      </c>
      <c r="R54" s="60">
        <f t="shared" si="9"/>
        <v>524.1</v>
      </c>
      <c r="S54" s="60">
        <f t="shared" si="8"/>
        <v>524.1</v>
      </c>
      <c r="T54" s="60">
        <f t="shared" si="8"/>
        <v>524.1</v>
      </c>
      <c r="U54" s="60">
        <f t="shared" si="8"/>
        <v>524.1</v>
      </c>
      <c r="V54" s="60">
        <f t="shared" si="8"/>
        <v>524.1</v>
      </c>
      <c r="W54" s="60">
        <f t="shared" si="8"/>
        <v>524.1</v>
      </c>
      <c r="X54" s="60">
        <f t="shared" si="8"/>
        <v>524.1</v>
      </c>
      <c r="Y54" s="60">
        <f t="shared" si="8"/>
        <v>524.1</v>
      </c>
      <c r="Z54" s="60">
        <f t="shared" si="8"/>
        <v>0</v>
      </c>
      <c r="AA54" s="60">
        <f t="shared" si="8"/>
        <v>0</v>
      </c>
      <c r="AB54" s="60">
        <f t="shared" si="8"/>
        <v>529.5</v>
      </c>
      <c r="AC54" s="60">
        <f t="shared" si="8"/>
        <v>529.5</v>
      </c>
      <c r="AD54" s="60">
        <f t="shared" si="8"/>
        <v>529.5</v>
      </c>
      <c r="AE54" s="60">
        <f t="shared" si="8"/>
        <v>538.5</v>
      </c>
      <c r="AF54" s="60">
        <f t="shared" si="8"/>
        <v>538.5</v>
      </c>
      <c r="AG54" s="61">
        <f t="shared" si="8"/>
        <v>538.1</v>
      </c>
      <c r="AH54" s="47">
        <f t="shared" si="2"/>
        <v>538.5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115.4</v>
      </c>
      <c r="C55" s="45">
        <v>111.5</v>
      </c>
      <c r="D55" s="45">
        <v>101</v>
      </c>
      <c r="E55" s="45">
        <v>101</v>
      </c>
      <c r="F55" s="45">
        <v>111.3</v>
      </c>
      <c r="G55" s="45">
        <v>121.4</v>
      </c>
      <c r="H55" s="45">
        <v>134</v>
      </c>
      <c r="I55" s="45">
        <v>135.1</v>
      </c>
      <c r="J55" s="45">
        <v>121.4</v>
      </c>
      <c r="K55" s="45">
        <v>121.4</v>
      </c>
      <c r="L55" s="45">
        <v>112.3</v>
      </c>
      <c r="M55" s="45">
        <v>101.6</v>
      </c>
      <c r="N55" s="45">
        <v>101.6</v>
      </c>
      <c r="O55" s="45">
        <v>101.6</v>
      </c>
      <c r="P55" s="45">
        <v>106.5</v>
      </c>
      <c r="Q55" s="45">
        <v>91.2</v>
      </c>
      <c r="R55" s="45">
        <v>111.5</v>
      </c>
      <c r="S55" s="45">
        <v>121.6</v>
      </c>
      <c r="T55" s="45">
        <v>121.4</v>
      </c>
      <c r="U55" s="45">
        <v>121.4</v>
      </c>
      <c r="V55" s="45">
        <v>121.4</v>
      </c>
      <c r="W55" s="45">
        <v>113.5</v>
      </c>
      <c r="X55" s="45">
        <v>124</v>
      </c>
      <c r="Y55" s="45">
        <v>124</v>
      </c>
      <c r="Z55" s="45"/>
      <c r="AA55" s="45"/>
      <c r="AB55" s="45">
        <v>124</v>
      </c>
      <c r="AC55" s="45">
        <v>124</v>
      </c>
      <c r="AD55" s="45">
        <v>124</v>
      </c>
      <c r="AE55" s="45">
        <v>121.4</v>
      </c>
      <c r="AF55" s="45">
        <v>121.4</v>
      </c>
      <c r="AG55" s="51">
        <v>144</v>
      </c>
      <c r="AH55" s="47">
        <f t="shared" si="2"/>
        <v>135.1</v>
      </c>
      <c r="AI55" s="48">
        <f t="shared" si="3"/>
        <v>91.2</v>
      </c>
      <c r="AK55" s="50"/>
    </row>
    <row r="56" spans="1:41" x14ac:dyDescent="0.25">
      <c r="A56" s="53" t="s">
        <v>64</v>
      </c>
      <c r="B56" s="45">
        <v>60</v>
      </c>
      <c r="C56" s="64">
        <v>69.7</v>
      </c>
      <c r="D56" s="64">
        <v>69.5</v>
      </c>
      <c r="E56" s="64">
        <v>69.5</v>
      </c>
      <c r="F56" s="64">
        <v>54.2</v>
      </c>
      <c r="G56" s="64">
        <v>55.7</v>
      </c>
      <c r="H56" s="64">
        <v>55.8</v>
      </c>
      <c r="I56" s="64">
        <v>56.8</v>
      </c>
      <c r="J56" s="64">
        <v>46</v>
      </c>
      <c r="K56" s="64">
        <v>55.3</v>
      </c>
      <c r="L56" s="64">
        <v>47.5</v>
      </c>
      <c r="M56" s="64">
        <v>48.1</v>
      </c>
      <c r="N56" s="64">
        <v>47.5</v>
      </c>
      <c r="O56" s="64">
        <v>61.4</v>
      </c>
      <c r="P56" s="64">
        <v>49.7</v>
      </c>
      <c r="Q56" s="64">
        <v>59.8</v>
      </c>
      <c r="R56" s="64">
        <v>54.2</v>
      </c>
      <c r="S56" s="45">
        <v>62.5</v>
      </c>
      <c r="T56" s="45">
        <v>62.5</v>
      </c>
      <c r="U56" s="45">
        <v>62.5</v>
      </c>
      <c r="V56" s="45">
        <v>55.34</v>
      </c>
      <c r="W56" s="45">
        <v>56.5</v>
      </c>
      <c r="X56" s="45">
        <v>65</v>
      </c>
      <c r="Y56" s="45">
        <v>68</v>
      </c>
      <c r="Z56" s="45"/>
      <c r="AA56" s="45"/>
      <c r="AB56" s="45">
        <v>68</v>
      </c>
      <c r="AC56" s="45">
        <v>68</v>
      </c>
      <c r="AD56" s="45">
        <v>68</v>
      </c>
      <c r="AE56" s="45">
        <v>66.099999999999994</v>
      </c>
      <c r="AF56" s="45">
        <v>66.099999999999994</v>
      </c>
      <c r="AG56" s="54">
        <v>70</v>
      </c>
      <c r="AH56" s="47">
        <f t="shared" si="2"/>
        <v>69.7</v>
      </c>
      <c r="AI56" s="48">
        <f t="shared" si="3"/>
        <v>46</v>
      </c>
      <c r="AK56" s="50"/>
    </row>
    <row r="57" spans="1:41" x14ac:dyDescent="0.25">
      <c r="A57" s="53" t="s">
        <v>65</v>
      </c>
      <c r="B57" s="45">
        <v>60.6</v>
      </c>
      <c r="C57" s="64">
        <v>64</v>
      </c>
      <c r="D57" s="64">
        <v>63.8</v>
      </c>
      <c r="E57" s="64">
        <v>63.8</v>
      </c>
      <c r="F57" s="64">
        <v>54.7</v>
      </c>
      <c r="G57" s="64">
        <v>54.8</v>
      </c>
      <c r="H57" s="64">
        <v>56.1</v>
      </c>
      <c r="I57" s="64">
        <v>47.8</v>
      </c>
      <c r="J57" s="64">
        <v>55.3</v>
      </c>
      <c r="K57" s="64">
        <v>65.3</v>
      </c>
      <c r="L57" s="64">
        <v>53.1</v>
      </c>
      <c r="M57" s="64">
        <v>52.3</v>
      </c>
      <c r="N57" s="64">
        <v>51.8</v>
      </c>
      <c r="O57" s="64">
        <v>64.3</v>
      </c>
      <c r="P57" s="64">
        <v>64.5</v>
      </c>
      <c r="Q57" s="64">
        <v>0</v>
      </c>
      <c r="R57" s="64">
        <v>0</v>
      </c>
      <c r="S57" s="45">
        <v>0</v>
      </c>
      <c r="T57" s="45">
        <v>0</v>
      </c>
      <c r="U57" s="45">
        <v>0</v>
      </c>
      <c r="V57" s="45">
        <v>0</v>
      </c>
      <c r="W57" s="45">
        <v>50.4</v>
      </c>
      <c r="X57" s="45">
        <v>60</v>
      </c>
      <c r="Y57" s="45">
        <v>60</v>
      </c>
      <c r="Z57" s="45"/>
      <c r="AA57" s="45"/>
      <c r="AB57" s="45">
        <v>60</v>
      </c>
      <c r="AC57" s="45">
        <v>60</v>
      </c>
      <c r="AD57" s="45">
        <v>60</v>
      </c>
      <c r="AE57" s="45">
        <v>64.8</v>
      </c>
      <c r="AF57" s="45">
        <v>64.8</v>
      </c>
      <c r="AG57" s="54">
        <v>69</v>
      </c>
      <c r="AH57" s="47">
        <f t="shared" si="2"/>
        <v>65.3</v>
      </c>
      <c r="AI57" s="48">
        <f t="shared" si="3"/>
        <v>0</v>
      </c>
      <c r="AK57" s="50"/>
    </row>
    <row r="58" spans="1:41" x14ac:dyDescent="0.25">
      <c r="A58" s="53" t="s">
        <v>66</v>
      </c>
      <c r="B58" s="45">
        <v>60</v>
      </c>
      <c r="C58" s="64">
        <v>61.2</v>
      </c>
      <c r="D58" s="64">
        <v>50.4</v>
      </c>
      <c r="E58" s="64">
        <v>50.4</v>
      </c>
      <c r="F58" s="56">
        <v>50.2</v>
      </c>
      <c r="G58" s="56">
        <v>50.4</v>
      </c>
      <c r="H58" s="56">
        <v>50.2</v>
      </c>
      <c r="I58" s="56">
        <v>39.299999999999997</v>
      </c>
      <c r="J58" s="56">
        <v>39.1</v>
      </c>
      <c r="K58" s="56">
        <v>50.2</v>
      </c>
      <c r="L58" s="56">
        <v>40</v>
      </c>
      <c r="M58" s="56">
        <v>33</v>
      </c>
      <c r="N58" s="56">
        <v>40.799999999999997</v>
      </c>
      <c r="O58" s="56">
        <v>60.9</v>
      </c>
      <c r="P58" s="56">
        <v>32.700000000000003</v>
      </c>
      <c r="Q58" s="56">
        <v>54.8</v>
      </c>
      <c r="R58" s="56">
        <v>44.1</v>
      </c>
      <c r="S58" s="45">
        <v>50.6</v>
      </c>
      <c r="T58" s="45">
        <v>51.1</v>
      </c>
      <c r="U58" s="45">
        <v>51.1</v>
      </c>
      <c r="V58" s="45">
        <v>41.3</v>
      </c>
      <c r="W58" s="45">
        <v>41.3</v>
      </c>
      <c r="X58" s="45">
        <v>62</v>
      </c>
      <c r="Y58" s="45">
        <v>62</v>
      </c>
      <c r="Z58" s="45"/>
      <c r="AA58" s="45"/>
      <c r="AB58" s="45">
        <v>62</v>
      </c>
      <c r="AC58" s="45">
        <v>62</v>
      </c>
      <c r="AD58" s="45">
        <v>62</v>
      </c>
      <c r="AE58" s="45">
        <v>51.6</v>
      </c>
      <c r="AF58" s="45">
        <v>51.6</v>
      </c>
      <c r="AG58" s="54">
        <v>60</v>
      </c>
      <c r="AH58" s="47">
        <f t="shared" si="2"/>
        <v>62</v>
      </c>
      <c r="AI58" s="48">
        <f t="shared" si="3"/>
        <v>32.700000000000003</v>
      </c>
      <c r="AK58" s="50"/>
    </row>
    <row r="59" spans="1:41" x14ac:dyDescent="0.25">
      <c r="A59" s="53" t="s">
        <v>67</v>
      </c>
      <c r="B59" s="45">
        <v>28</v>
      </c>
      <c r="C59" s="45">
        <v>28</v>
      </c>
      <c r="D59" s="45">
        <v>28</v>
      </c>
      <c r="E59" s="45">
        <v>28</v>
      </c>
      <c r="F59" s="45">
        <v>28</v>
      </c>
      <c r="G59" s="45">
        <v>28</v>
      </c>
      <c r="H59" s="56">
        <v>28</v>
      </c>
      <c r="I59" s="56">
        <v>28</v>
      </c>
      <c r="J59" s="56">
        <v>28</v>
      </c>
      <c r="K59" s="56">
        <v>28</v>
      </c>
      <c r="L59" s="56">
        <v>28</v>
      </c>
      <c r="M59" s="56">
        <v>28</v>
      </c>
      <c r="N59" s="56">
        <v>28</v>
      </c>
      <c r="O59" s="56">
        <v>28</v>
      </c>
      <c r="P59" s="56">
        <v>28</v>
      </c>
      <c r="Q59" s="56">
        <v>28</v>
      </c>
      <c r="R59" s="56">
        <v>28</v>
      </c>
      <c r="S59" s="45">
        <v>28</v>
      </c>
      <c r="T59" s="45">
        <v>28</v>
      </c>
      <c r="U59" s="45">
        <v>0</v>
      </c>
      <c r="V59" s="45">
        <v>28</v>
      </c>
      <c r="W59" s="45">
        <v>28</v>
      </c>
      <c r="X59" s="45">
        <v>15</v>
      </c>
      <c r="Y59" s="45">
        <v>15</v>
      </c>
      <c r="Z59" s="45"/>
      <c r="AA59" s="45"/>
      <c r="AB59" s="45">
        <v>15</v>
      </c>
      <c r="AC59" s="45">
        <v>15</v>
      </c>
      <c r="AD59" s="45">
        <v>15</v>
      </c>
      <c r="AE59" s="45">
        <v>15</v>
      </c>
      <c r="AF59" s="45">
        <v>15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8.5</v>
      </c>
      <c r="N60" s="45">
        <v>12</v>
      </c>
      <c r="O60" s="45">
        <v>15.7</v>
      </c>
      <c r="P60" s="45">
        <v>17.7</v>
      </c>
      <c r="Q60" s="45">
        <v>18.399999999999999</v>
      </c>
      <c r="R60" s="45">
        <v>17.7</v>
      </c>
      <c r="S60" s="45">
        <v>15.4</v>
      </c>
      <c r="T60" s="45">
        <v>12.2</v>
      </c>
      <c r="U60" s="45">
        <v>6</v>
      </c>
      <c r="V60" s="45">
        <v>2.1</v>
      </c>
      <c r="W60" s="45">
        <v>1.2</v>
      </c>
      <c r="X60" s="45">
        <v>1.2</v>
      </c>
      <c r="Y60" s="45">
        <v>1.2</v>
      </c>
      <c r="Z60" s="45"/>
      <c r="AA60" s="45"/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18.399999999999999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/>
      <c r="AA61" s="64"/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12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/>
      <c r="AA62" s="64"/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9.1</v>
      </c>
      <c r="C63" s="64">
        <v>9.1</v>
      </c>
      <c r="D63" s="64">
        <v>9.1</v>
      </c>
      <c r="E63" s="64">
        <v>9.1</v>
      </c>
      <c r="F63" s="64">
        <v>9.1</v>
      </c>
      <c r="G63" s="64">
        <v>9.1</v>
      </c>
      <c r="H63" s="64">
        <v>9.1</v>
      </c>
      <c r="I63" s="64">
        <v>9.1</v>
      </c>
      <c r="J63" s="64">
        <v>9.1</v>
      </c>
      <c r="K63" s="64">
        <v>9.1</v>
      </c>
      <c r="L63" s="64">
        <v>9.1</v>
      </c>
      <c r="M63" s="64">
        <v>9.1</v>
      </c>
      <c r="N63" s="64">
        <v>9.1</v>
      </c>
      <c r="O63" s="64">
        <v>9.1</v>
      </c>
      <c r="P63" s="64">
        <v>8.3000000000000007</v>
      </c>
      <c r="Q63" s="64">
        <v>8.3000000000000007</v>
      </c>
      <c r="R63" s="64">
        <v>8.3000000000000007</v>
      </c>
      <c r="S63" s="64">
        <v>8.3000000000000007</v>
      </c>
      <c r="T63" s="64">
        <v>8.9</v>
      </c>
      <c r="U63" s="64">
        <v>8.9</v>
      </c>
      <c r="V63" s="64">
        <v>8.9</v>
      </c>
      <c r="W63" s="64">
        <v>9.1999999999999993</v>
      </c>
      <c r="X63" s="64">
        <v>9.1999999999999993</v>
      </c>
      <c r="Y63" s="64">
        <v>9.1999999999999993</v>
      </c>
      <c r="Z63" s="64"/>
      <c r="AA63" s="64"/>
      <c r="AB63" s="64">
        <v>9.1999999999999993</v>
      </c>
      <c r="AC63" s="64">
        <v>9.1999999999999993</v>
      </c>
      <c r="AD63" s="64">
        <v>9.1999999999999993</v>
      </c>
      <c r="AE63" s="64">
        <v>9.1999999999999993</v>
      </c>
      <c r="AF63" s="64">
        <v>9.1999999999999993</v>
      </c>
      <c r="AG63" s="54">
        <v>14.1</v>
      </c>
      <c r="AH63" s="47">
        <f t="shared" si="2"/>
        <v>9.1999999999999993</v>
      </c>
      <c r="AI63" s="48">
        <f t="shared" si="3"/>
        <v>8.3000000000000007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13.5</v>
      </c>
      <c r="C64" s="64">
        <v>13.5</v>
      </c>
      <c r="D64" s="64">
        <v>13.5</v>
      </c>
      <c r="E64" s="64">
        <v>13.5</v>
      </c>
      <c r="F64" s="64">
        <v>13.5</v>
      </c>
      <c r="G64" s="64">
        <v>13.5</v>
      </c>
      <c r="H64" s="64">
        <v>13.5</v>
      </c>
      <c r="I64" s="64">
        <v>13.5</v>
      </c>
      <c r="J64" s="64">
        <v>13.5</v>
      </c>
      <c r="K64" s="64">
        <v>13.5</v>
      </c>
      <c r="L64" s="64">
        <v>13.5</v>
      </c>
      <c r="M64" s="64">
        <v>13.5</v>
      </c>
      <c r="N64" s="64">
        <v>10.6</v>
      </c>
      <c r="O64" s="64">
        <v>10.6</v>
      </c>
      <c r="P64" s="64">
        <v>13.7</v>
      </c>
      <c r="Q64" s="64">
        <v>13.8</v>
      </c>
      <c r="R64" s="64">
        <v>13.8</v>
      </c>
      <c r="S64" s="64">
        <v>13.7</v>
      </c>
      <c r="T64" s="64">
        <v>13.6</v>
      </c>
      <c r="U64" s="64">
        <v>13.6</v>
      </c>
      <c r="V64" s="64">
        <v>13.6</v>
      </c>
      <c r="W64" s="64">
        <v>13.7</v>
      </c>
      <c r="X64" s="64">
        <v>13.7</v>
      </c>
      <c r="Y64" s="64">
        <v>13.7</v>
      </c>
      <c r="Z64" s="64"/>
      <c r="AA64" s="64"/>
      <c r="AB64" s="64">
        <v>13.7</v>
      </c>
      <c r="AC64" s="64">
        <v>13.7</v>
      </c>
      <c r="AD64" s="64">
        <v>13.7</v>
      </c>
      <c r="AE64" s="64">
        <v>13.7</v>
      </c>
      <c r="AF64" s="64">
        <v>13.7</v>
      </c>
      <c r="AG64" s="54">
        <v>14</v>
      </c>
      <c r="AH64" s="47">
        <f t="shared" si="2"/>
        <v>13.8</v>
      </c>
      <c r="AI64" s="48">
        <f t="shared" si="3"/>
        <v>10.6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/>
      <c r="AA65" s="64"/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/>
      <c r="AA66" s="64"/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382.34000000000003</v>
      </c>
      <c r="C68" s="60">
        <f t="shared" ref="C68:AG68" si="10">SUM(C55:C67)</f>
        <v>392.74</v>
      </c>
      <c r="D68" s="60">
        <f t="shared" si="10"/>
        <v>371.04</v>
      </c>
      <c r="E68" s="60">
        <f t="shared" si="10"/>
        <v>371.04</v>
      </c>
      <c r="F68" s="60">
        <f t="shared" si="10"/>
        <v>356.74</v>
      </c>
      <c r="G68" s="60">
        <f t="shared" si="10"/>
        <v>368.64000000000004</v>
      </c>
      <c r="H68" s="60">
        <f t="shared" si="10"/>
        <v>382.44000000000005</v>
      </c>
      <c r="I68" s="60">
        <f t="shared" si="10"/>
        <v>365.34000000000003</v>
      </c>
      <c r="J68" s="60">
        <f t="shared" si="10"/>
        <v>348.14000000000004</v>
      </c>
      <c r="K68" s="60">
        <f t="shared" si="10"/>
        <v>378.54</v>
      </c>
      <c r="L68" s="60">
        <f t="shared" si="10"/>
        <v>339.24</v>
      </c>
      <c r="M68" s="60">
        <f t="shared" ref="M68:R68" si="11">SUM(M55:M67)</f>
        <v>329.84000000000003</v>
      </c>
      <c r="N68" s="60">
        <f t="shared" si="11"/>
        <v>337.14000000000004</v>
      </c>
      <c r="O68" s="60">
        <f t="shared" si="11"/>
        <v>387.34000000000003</v>
      </c>
      <c r="P68" s="60">
        <f t="shared" si="11"/>
        <v>356.84</v>
      </c>
      <c r="Q68" s="60">
        <f t="shared" si="11"/>
        <v>310.04000000000008</v>
      </c>
      <c r="R68" s="60">
        <f t="shared" si="11"/>
        <v>313.34000000000003</v>
      </c>
      <c r="S68" s="60">
        <f t="shared" si="10"/>
        <v>335.84</v>
      </c>
      <c r="T68" s="60">
        <f t="shared" si="10"/>
        <v>333.44</v>
      </c>
      <c r="U68" s="60">
        <f t="shared" si="10"/>
        <v>299.24</v>
      </c>
      <c r="V68" s="60">
        <f t="shared" si="10"/>
        <v>306.38</v>
      </c>
      <c r="W68" s="60">
        <f t="shared" si="10"/>
        <v>349.53999999999996</v>
      </c>
      <c r="X68" s="60">
        <f t="shared" si="10"/>
        <v>385.84</v>
      </c>
      <c r="Y68" s="60">
        <f t="shared" si="10"/>
        <v>388.84</v>
      </c>
      <c r="Z68" s="60">
        <f t="shared" si="10"/>
        <v>3.54</v>
      </c>
      <c r="AA68" s="60">
        <f t="shared" si="10"/>
        <v>3.54</v>
      </c>
      <c r="AB68" s="60">
        <f t="shared" si="10"/>
        <v>387.64</v>
      </c>
      <c r="AC68" s="60">
        <f t="shared" si="10"/>
        <v>387.64</v>
      </c>
      <c r="AD68" s="60">
        <f t="shared" si="10"/>
        <v>387.64</v>
      </c>
      <c r="AE68" s="60">
        <f t="shared" si="10"/>
        <v>377.54</v>
      </c>
      <c r="AF68" s="60">
        <f t="shared" si="10"/>
        <v>377.54</v>
      </c>
      <c r="AG68" s="61">
        <f t="shared" si="10"/>
        <v>489.91</v>
      </c>
      <c r="AH68" s="47">
        <f t="shared" si="2"/>
        <v>392.74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>
        <v>10</v>
      </c>
      <c r="R69" s="45">
        <v>11</v>
      </c>
      <c r="S69" s="45">
        <v>11</v>
      </c>
      <c r="T69" s="45">
        <v>10</v>
      </c>
      <c r="U69" s="45">
        <v>10</v>
      </c>
      <c r="V69" s="45">
        <v>10</v>
      </c>
      <c r="W69" s="45">
        <v>0</v>
      </c>
      <c r="X69" s="45">
        <v>0</v>
      </c>
      <c r="Y69" s="45">
        <v>0</v>
      </c>
      <c r="Z69" s="45"/>
      <c r="AA69" s="45"/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11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>
        <v>5.3</v>
      </c>
      <c r="R70" s="64">
        <v>5.3</v>
      </c>
      <c r="S70" s="64">
        <v>3.9</v>
      </c>
      <c r="T70" s="64">
        <v>3.9</v>
      </c>
      <c r="U70" s="64">
        <v>3.9</v>
      </c>
      <c r="V70" s="64">
        <v>3.9</v>
      </c>
      <c r="W70" s="64">
        <v>0</v>
      </c>
      <c r="X70" s="64">
        <v>0</v>
      </c>
      <c r="Y70" s="64">
        <v>0</v>
      </c>
      <c r="Z70" s="64"/>
      <c r="AA70" s="64"/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5.3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>
        <v>1.9</v>
      </c>
      <c r="R71" s="66">
        <v>1.9</v>
      </c>
      <c r="S71" s="66">
        <v>1.4</v>
      </c>
      <c r="T71" s="66">
        <v>1.4</v>
      </c>
      <c r="U71" s="66">
        <v>1.4</v>
      </c>
      <c r="V71" s="66">
        <v>1.4</v>
      </c>
      <c r="W71" s="66">
        <v>0</v>
      </c>
      <c r="X71" s="66">
        <v>0</v>
      </c>
      <c r="Y71" s="66">
        <v>0</v>
      </c>
      <c r="Z71" s="66"/>
      <c r="AA71" s="66"/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 t="shared" ref="L72:R72" si="12">L69+L70+L71</f>
        <v>0</v>
      </c>
      <c r="M72" s="60">
        <f t="shared" si="12"/>
        <v>0</v>
      </c>
      <c r="N72" s="60">
        <f t="shared" si="12"/>
        <v>0</v>
      </c>
      <c r="O72" s="60">
        <f t="shared" si="12"/>
        <v>0</v>
      </c>
      <c r="P72" s="60">
        <f t="shared" si="12"/>
        <v>0</v>
      </c>
      <c r="Q72" s="60">
        <f t="shared" si="12"/>
        <v>17.2</v>
      </c>
      <c r="R72" s="60">
        <f t="shared" si="12"/>
        <v>18.2</v>
      </c>
      <c r="S72" s="60">
        <f t="shared" ref="S72:AF72" si="13">S69+S70+S71</f>
        <v>16.3</v>
      </c>
      <c r="T72" s="60">
        <f t="shared" si="13"/>
        <v>15.3</v>
      </c>
      <c r="U72" s="60">
        <f t="shared" si="13"/>
        <v>15.3</v>
      </c>
      <c r="V72" s="60">
        <f t="shared" si="13"/>
        <v>15.3</v>
      </c>
      <c r="W72" s="60">
        <f t="shared" si="13"/>
        <v>0</v>
      </c>
      <c r="X72" s="60">
        <f t="shared" si="13"/>
        <v>0</v>
      </c>
      <c r="Y72" s="60">
        <f t="shared" si="13"/>
        <v>0</v>
      </c>
      <c r="Z72" s="60">
        <f t="shared" si="13"/>
        <v>0</v>
      </c>
      <c r="AA72" s="60">
        <f t="shared" si="13"/>
        <v>0</v>
      </c>
      <c r="AB72" s="60">
        <f t="shared" si="13"/>
        <v>0</v>
      </c>
      <c r="AC72" s="60">
        <f t="shared" si="13"/>
        <v>0</v>
      </c>
      <c r="AD72" s="60">
        <f t="shared" si="13"/>
        <v>0</v>
      </c>
      <c r="AE72" s="60">
        <f t="shared" si="13"/>
        <v>0</v>
      </c>
      <c r="AF72" s="60">
        <f t="shared" si="13"/>
        <v>0</v>
      </c>
      <c r="AG72" s="61">
        <f>SUM(AG69:AG71)</f>
        <v>106</v>
      </c>
      <c r="AH72" s="47">
        <f t="shared" si="2"/>
        <v>18.2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-9</v>
      </c>
      <c r="C73" s="45">
        <v>-42</v>
      </c>
      <c r="D73" s="45">
        <v>-44</v>
      </c>
      <c r="E73" s="45">
        <v>-28.6</v>
      </c>
      <c r="F73" s="45">
        <v>-24</v>
      </c>
      <c r="G73" s="45">
        <v>-28</v>
      </c>
      <c r="H73" s="45">
        <v>-28</v>
      </c>
      <c r="I73" s="45">
        <v>-51</v>
      </c>
      <c r="J73" s="45">
        <v>-55</v>
      </c>
      <c r="K73" s="45">
        <v>-49</v>
      </c>
      <c r="L73" s="45">
        <v>-15</v>
      </c>
      <c r="M73" s="45"/>
      <c r="N73" s="45">
        <v>-0.7</v>
      </c>
      <c r="O73" s="45">
        <v>-17.5</v>
      </c>
      <c r="P73" s="45">
        <v>-4.4000000000000004</v>
      </c>
      <c r="Q73" s="45">
        <v>-18.5</v>
      </c>
      <c r="R73" s="45">
        <v>-7.1</v>
      </c>
      <c r="S73" s="45">
        <v>-17.5</v>
      </c>
      <c r="T73" s="45">
        <v>-6.7</v>
      </c>
      <c r="U73" s="45"/>
      <c r="V73" s="45">
        <v>-49.3</v>
      </c>
      <c r="W73" s="45">
        <v>-20.399999999999999</v>
      </c>
      <c r="X73" s="45">
        <v>-29</v>
      </c>
      <c r="Y73" s="45">
        <v>-40</v>
      </c>
      <c r="Z73" s="45"/>
      <c r="AA73" s="45"/>
      <c r="AB73" s="45">
        <v>18.5</v>
      </c>
      <c r="AC73" s="45">
        <v>15.4</v>
      </c>
      <c r="AD73" s="45">
        <v>-2.2000000000000002</v>
      </c>
      <c r="AE73" s="45">
        <v>-16.899999999999999</v>
      </c>
      <c r="AF73" s="45">
        <v>-9</v>
      </c>
      <c r="AG73" s="51"/>
      <c r="AH73" s="47">
        <f t="shared" si="2"/>
        <v>18.5</v>
      </c>
      <c r="AI73" s="48">
        <f t="shared" si="3"/>
        <v>-55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-364.1</v>
      </c>
      <c r="C75" s="64">
        <v>-357.4</v>
      </c>
      <c r="D75" s="64">
        <v>-375.2</v>
      </c>
      <c r="E75" s="64">
        <v>-374</v>
      </c>
      <c r="F75" s="64">
        <v>-388.5</v>
      </c>
      <c r="G75" s="64">
        <v>-407.7</v>
      </c>
      <c r="H75" s="64">
        <v>-454.7</v>
      </c>
      <c r="I75" s="64">
        <v>-476.9</v>
      </c>
      <c r="J75" s="64">
        <v>-469.1</v>
      </c>
      <c r="K75" s="64">
        <v>-464</v>
      </c>
      <c r="L75" s="64">
        <v>-375</v>
      </c>
      <c r="M75" s="64">
        <v>-372.4</v>
      </c>
      <c r="N75" s="64">
        <v>-357.2</v>
      </c>
      <c r="O75" s="64">
        <v>-314.89999999999998</v>
      </c>
      <c r="P75" s="64">
        <v>-314.7</v>
      </c>
      <c r="Q75" s="64">
        <v>-340</v>
      </c>
      <c r="R75" s="64">
        <v>-226.8</v>
      </c>
      <c r="S75" s="64">
        <v>-306</v>
      </c>
      <c r="T75" s="64">
        <v>-285</v>
      </c>
      <c r="U75" s="64"/>
      <c r="V75" s="64">
        <v>-276</v>
      </c>
      <c r="W75" s="64">
        <v>-364</v>
      </c>
      <c r="X75" s="64">
        <v>-360</v>
      </c>
      <c r="Y75" s="64">
        <v>-370</v>
      </c>
      <c r="Z75" s="64"/>
      <c r="AA75" s="64"/>
      <c r="AB75" s="64">
        <v>-219.3</v>
      </c>
      <c r="AC75" s="64">
        <v>-217.5</v>
      </c>
      <c r="AD75" s="64">
        <v>-203.1</v>
      </c>
      <c r="AE75" s="64">
        <v>-357.2</v>
      </c>
      <c r="AF75" s="64">
        <v>-302</v>
      </c>
      <c r="AG75" s="74"/>
      <c r="AH75" s="47">
        <f t="shared" si="2"/>
        <v>-203.1</v>
      </c>
      <c r="AI75" s="48">
        <f t="shared" si="3"/>
        <v>-476.9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4">MAX(B77:AF77)</f>
        <v>0</v>
      </c>
      <c r="AI77" s="48">
        <f t="shared" ref="AI77:AI120" si="15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>
        <v>10</v>
      </c>
      <c r="V78" s="76">
        <v>10</v>
      </c>
      <c r="W78" s="76">
        <v>10</v>
      </c>
      <c r="X78" s="76">
        <v>10</v>
      </c>
      <c r="Y78" s="76"/>
      <c r="Z78" s="76"/>
      <c r="AA78" s="76"/>
      <c r="AB78" s="76">
        <v>5</v>
      </c>
      <c r="AC78" s="76">
        <v>5</v>
      </c>
      <c r="AD78" s="76">
        <v>5</v>
      </c>
      <c r="AE78" s="76">
        <v>5</v>
      </c>
      <c r="AF78" s="76">
        <v>5</v>
      </c>
      <c r="AG78" s="74"/>
      <c r="AH78" s="47">
        <f t="shared" si="14"/>
        <v>10</v>
      </c>
      <c r="AI78" s="48">
        <f t="shared" si="15"/>
        <v>5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4"/>
        <v>0</v>
      </c>
      <c r="AI79" s="48">
        <f t="shared" si="15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4"/>
        <v>0</v>
      </c>
      <c r="AI80" s="48">
        <f t="shared" si="15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4"/>
        <v>0</v>
      </c>
      <c r="AI81" s="48">
        <f t="shared" si="15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4"/>
        <v>0</v>
      </c>
      <c r="AI82" s="48">
        <f t="shared" si="15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4"/>
        <v>0</v>
      </c>
      <c r="AI83" s="48">
        <f t="shared" si="15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6">SUMIF(B73:B83,"&gt;0")</f>
        <v>0</v>
      </c>
      <c r="C84" s="60">
        <f t="shared" si="16"/>
        <v>0</v>
      </c>
      <c r="D84" s="60">
        <f t="shared" si="16"/>
        <v>0</v>
      </c>
      <c r="E84" s="60">
        <f t="shared" si="16"/>
        <v>0</v>
      </c>
      <c r="F84" s="60">
        <f t="shared" si="16"/>
        <v>0</v>
      </c>
      <c r="G84" s="60">
        <f t="shared" si="16"/>
        <v>0</v>
      </c>
      <c r="H84" s="60">
        <f t="shared" si="16"/>
        <v>0</v>
      </c>
      <c r="I84" s="60">
        <f t="shared" si="16"/>
        <v>0</v>
      </c>
      <c r="J84" s="60">
        <f t="shared" si="16"/>
        <v>0</v>
      </c>
      <c r="K84" s="60">
        <f t="shared" si="16"/>
        <v>0</v>
      </c>
      <c r="L84" s="60">
        <f t="shared" si="16"/>
        <v>0</v>
      </c>
      <c r="M84" s="60">
        <f t="shared" ref="M84:R84" si="17">SUMIF(M73:M83,"&gt;0")</f>
        <v>0</v>
      </c>
      <c r="N84" s="60">
        <f t="shared" si="17"/>
        <v>0</v>
      </c>
      <c r="O84" s="60">
        <f t="shared" si="17"/>
        <v>0</v>
      </c>
      <c r="P84" s="60">
        <f t="shared" si="17"/>
        <v>0</v>
      </c>
      <c r="Q84" s="60">
        <f t="shared" si="17"/>
        <v>0</v>
      </c>
      <c r="R84" s="60">
        <f t="shared" si="17"/>
        <v>0</v>
      </c>
      <c r="S84" s="60">
        <f t="shared" si="16"/>
        <v>0</v>
      </c>
      <c r="T84" s="60">
        <f t="shared" si="16"/>
        <v>0</v>
      </c>
      <c r="U84" s="60">
        <f t="shared" si="16"/>
        <v>10</v>
      </c>
      <c r="V84" s="60">
        <f t="shared" si="16"/>
        <v>10</v>
      </c>
      <c r="W84" s="60">
        <f t="shared" si="16"/>
        <v>10</v>
      </c>
      <c r="X84" s="60">
        <f t="shared" si="16"/>
        <v>10</v>
      </c>
      <c r="Y84" s="60">
        <f t="shared" si="16"/>
        <v>0</v>
      </c>
      <c r="Z84" s="60">
        <f t="shared" si="16"/>
        <v>0</v>
      </c>
      <c r="AA84" s="60">
        <f t="shared" si="16"/>
        <v>0</v>
      </c>
      <c r="AB84" s="60">
        <f t="shared" si="16"/>
        <v>23.5</v>
      </c>
      <c r="AC84" s="60">
        <f t="shared" si="16"/>
        <v>20.399999999999999</v>
      </c>
      <c r="AD84" s="60">
        <f t="shared" si="16"/>
        <v>5</v>
      </c>
      <c r="AE84" s="60">
        <f t="shared" si="16"/>
        <v>5</v>
      </c>
      <c r="AF84" s="60">
        <f t="shared" si="16"/>
        <v>5</v>
      </c>
      <c r="AG84" s="87">
        <f>SUM(AG73:AG83)</f>
        <v>0</v>
      </c>
      <c r="AH84" s="47">
        <f t="shared" si="14"/>
        <v>23.5</v>
      </c>
      <c r="AI84" s="48">
        <f t="shared" si="15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4"/>
        <v>0</v>
      </c>
      <c r="AI85" s="48">
        <f t="shared" si="15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4"/>
        <v>0</v>
      </c>
      <c r="AI86" s="48">
        <f t="shared" si="15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4"/>
        <v>0</v>
      </c>
      <c r="AI87" s="48">
        <f t="shared" si="15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4"/>
        <v>0</v>
      </c>
      <c r="AI88" s="48">
        <f t="shared" si="15"/>
        <v>0</v>
      </c>
    </row>
    <row r="89" spans="1:40" ht="15.75" thickBot="1" x14ac:dyDescent="0.3">
      <c r="A89" s="73" t="s">
        <v>100</v>
      </c>
      <c r="B89" s="94">
        <f t="shared" ref="B89:AG89" si="18">B50+B54+B72+B68+B84+B88</f>
        <v>1991.2400000000002</v>
      </c>
      <c r="C89" s="94">
        <f t="shared" si="18"/>
        <v>2001.64</v>
      </c>
      <c r="D89" s="94">
        <f t="shared" si="18"/>
        <v>1979.94</v>
      </c>
      <c r="E89" s="94">
        <f t="shared" si="18"/>
        <v>1974.44</v>
      </c>
      <c r="F89" s="94">
        <f t="shared" si="18"/>
        <v>1960.14</v>
      </c>
      <c r="G89" s="94">
        <f t="shared" si="18"/>
        <v>1972.0400000000002</v>
      </c>
      <c r="H89" s="94">
        <f t="shared" si="18"/>
        <v>1993.8400000000001</v>
      </c>
      <c r="I89" s="94">
        <f t="shared" si="18"/>
        <v>2001.44</v>
      </c>
      <c r="J89" s="94">
        <f t="shared" si="18"/>
        <v>1984.24</v>
      </c>
      <c r="K89" s="94">
        <f t="shared" si="18"/>
        <v>2014.6399999999999</v>
      </c>
      <c r="L89" s="94">
        <f t="shared" si="18"/>
        <v>1975.34</v>
      </c>
      <c r="M89" s="94">
        <f t="shared" ref="M89:R89" si="19">M50+M54+M72+M68+M84+M88</f>
        <v>1945.44</v>
      </c>
      <c r="N89" s="94">
        <f t="shared" si="19"/>
        <v>1952.74</v>
      </c>
      <c r="O89" s="94">
        <f t="shared" si="19"/>
        <v>1995.94</v>
      </c>
      <c r="P89" s="94">
        <f t="shared" si="19"/>
        <v>1965.4399999999998</v>
      </c>
      <c r="Q89" s="94">
        <f t="shared" si="19"/>
        <v>1959.0400000000004</v>
      </c>
      <c r="R89" s="94">
        <f t="shared" si="19"/>
        <v>1963.3400000000001</v>
      </c>
      <c r="S89" s="94">
        <f t="shared" si="18"/>
        <v>1973.3399999999997</v>
      </c>
      <c r="T89" s="94">
        <f t="shared" si="18"/>
        <v>1968.34</v>
      </c>
      <c r="U89" s="94">
        <f t="shared" si="18"/>
        <v>1896.8400000000001</v>
      </c>
      <c r="V89" s="94">
        <f t="shared" si="18"/>
        <v>1935.2799999999997</v>
      </c>
      <c r="W89" s="94">
        <f t="shared" si="18"/>
        <v>1950.44</v>
      </c>
      <c r="X89" s="94">
        <f t="shared" si="18"/>
        <v>1986.74</v>
      </c>
      <c r="Y89" s="94">
        <f t="shared" si="18"/>
        <v>1979.74</v>
      </c>
      <c r="Z89" s="94">
        <f t="shared" si="18"/>
        <v>3.54</v>
      </c>
      <c r="AA89" s="94">
        <f t="shared" si="18"/>
        <v>3.54</v>
      </c>
      <c r="AB89" s="94">
        <f t="shared" si="18"/>
        <v>2016.54</v>
      </c>
      <c r="AC89" s="94">
        <f t="shared" si="18"/>
        <v>2019.44</v>
      </c>
      <c r="AD89" s="94">
        <f t="shared" si="18"/>
        <v>2004.04</v>
      </c>
      <c r="AE89" s="94">
        <f t="shared" si="18"/>
        <v>1980.24</v>
      </c>
      <c r="AF89" s="94">
        <f t="shared" si="18"/>
        <v>1960.24</v>
      </c>
      <c r="AG89" s="61">
        <f t="shared" si="18"/>
        <v>2111.5500000000002</v>
      </c>
      <c r="AH89" s="47">
        <f t="shared" si="14"/>
        <v>2019.44</v>
      </c>
      <c r="AI89" s="48">
        <f t="shared" si="15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4"/>
        <v>0</v>
      </c>
      <c r="AI90" s="48">
        <f t="shared" si="15"/>
        <v>0</v>
      </c>
    </row>
    <row r="91" spans="1:40" ht="15.75" thickBot="1" x14ac:dyDescent="0.3">
      <c r="A91" s="73" t="s">
        <v>102</v>
      </c>
      <c r="B91" s="94">
        <f t="shared" ref="B91:AF91" si="20">B89+B90</f>
        <v>1991.2400000000002</v>
      </c>
      <c r="C91" s="94">
        <f t="shared" si="20"/>
        <v>2001.64</v>
      </c>
      <c r="D91" s="94">
        <f t="shared" si="20"/>
        <v>1979.94</v>
      </c>
      <c r="E91" s="94">
        <f t="shared" si="20"/>
        <v>1974.44</v>
      </c>
      <c r="F91" s="94">
        <f t="shared" si="20"/>
        <v>1960.14</v>
      </c>
      <c r="G91" s="94">
        <f t="shared" si="20"/>
        <v>1972.0400000000002</v>
      </c>
      <c r="H91" s="94">
        <f t="shared" si="20"/>
        <v>1993.8400000000001</v>
      </c>
      <c r="I91" s="94">
        <f t="shared" si="20"/>
        <v>2001.44</v>
      </c>
      <c r="J91" s="94">
        <f t="shared" si="20"/>
        <v>1984.24</v>
      </c>
      <c r="K91" s="94">
        <f t="shared" si="20"/>
        <v>2014.6399999999999</v>
      </c>
      <c r="L91" s="94">
        <f t="shared" si="20"/>
        <v>1975.34</v>
      </c>
      <c r="M91" s="94">
        <f t="shared" ref="M91:R91" si="21">M89+M90</f>
        <v>1945.44</v>
      </c>
      <c r="N91" s="94">
        <f t="shared" si="21"/>
        <v>1952.74</v>
      </c>
      <c r="O91" s="94">
        <f t="shared" si="21"/>
        <v>1995.94</v>
      </c>
      <c r="P91" s="94">
        <f t="shared" si="21"/>
        <v>1965.4399999999998</v>
      </c>
      <c r="Q91" s="94">
        <f t="shared" si="21"/>
        <v>1959.0400000000004</v>
      </c>
      <c r="R91" s="94">
        <f t="shared" si="21"/>
        <v>1963.3400000000001</v>
      </c>
      <c r="S91" s="94">
        <f t="shared" si="20"/>
        <v>1973.3399999999997</v>
      </c>
      <c r="T91" s="94">
        <f t="shared" si="20"/>
        <v>1968.34</v>
      </c>
      <c r="U91" s="94">
        <f t="shared" si="20"/>
        <v>1896.8400000000001</v>
      </c>
      <c r="V91" s="94">
        <f t="shared" si="20"/>
        <v>1935.2799999999997</v>
      </c>
      <c r="W91" s="94">
        <f t="shared" si="20"/>
        <v>1950.44</v>
      </c>
      <c r="X91" s="94">
        <f t="shared" si="20"/>
        <v>1986.74</v>
      </c>
      <c r="Y91" s="94">
        <f t="shared" si="20"/>
        <v>1979.74</v>
      </c>
      <c r="Z91" s="94">
        <f t="shared" si="20"/>
        <v>3.54</v>
      </c>
      <c r="AA91" s="94">
        <f t="shared" si="20"/>
        <v>3.54</v>
      </c>
      <c r="AB91" s="94">
        <f t="shared" si="20"/>
        <v>2016.54</v>
      </c>
      <c r="AC91" s="94">
        <f t="shared" si="20"/>
        <v>2019.44</v>
      </c>
      <c r="AD91" s="94">
        <f t="shared" si="20"/>
        <v>2004.04</v>
      </c>
      <c r="AE91" s="94">
        <f t="shared" si="20"/>
        <v>1980.24</v>
      </c>
      <c r="AF91" s="94">
        <f t="shared" si="20"/>
        <v>1960.24</v>
      </c>
      <c r="AG91" s="87">
        <f>AG88+AG84+AG72+AG68+AG50+AG90</f>
        <v>1573.45</v>
      </c>
      <c r="AH91" s="47">
        <f t="shared" si="14"/>
        <v>2019.44</v>
      </c>
      <c r="AI91" s="48">
        <f t="shared" si="15"/>
        <v>3.54</v>
      </c>
    </row>
    <row r="92" spans="1:40" ht="15.75" thickBot="1" x14ac:dyDescent="0.3">
      <c r="A92" s="73" t="s">
        <v>103</v>
      </c>
      <c r="B92" s="94">
        <f t="shared" ref="B92:AF92" si="22">B91-B99</f>
        <v>2355.34</v>
      </c>
      <c r="C92" s="94">
        <f t="shared" si="22"/>
        <v>2359.04</v>
      </c>
      <c r="D92" s="94">
        <f t="shared" si="22"/>
        <v>2355.14</v>
      </c>
      <c r="E92" s="94">
        <f t="shared" si="22"/>
        <v>2348.44</v>
      </c>
      <c r="F92" s="94">
        <f t="shared" si="22"/>
        <v>2348.6400000000003</v>
      </c>
      <c r="G92" s="94">
        <f t="shared" si="22"/>
        <v>2379.7400000000002</v>
      </c>
      <c r="H92" s="94">
        <f t="shared" si="22"/>
        <v>2448.54</v>
      </c>
      <c r="I92" s="94">
        <f t="shared" si="22"/>
        <v>2478.34</v>
      </c>
      <c r="J92" s="94">
        <f t="shared" si="22"/>
        <v>2453.34</v>
      </c>
      <c r="K92" s="94">
        <f t="shared" si="22"/>
        <v>2478.64</v>
      </c>
      <c r="L92" s="94">
        <f t="shared" si="22"/>
        <v>2350.34</v>
      </c>
      <c r="M92" s="94">
        <f t="shared" ref="M92:R92" si="23">M91-M99</f>
        <v>2317.84</v>
      </c>
      <c r="N92" s="94">
        <f t="shared" si="23"/>
        <v>2309.94</v>
      </c>
      <c r="O92" s="94">
        <f t="shared" si="23"/>
        <v>2310.84</v>
      </c>
      <c r="P92" s="94">
        <f t="shared" si="23"/>
        <v>2280.14</v>
      </c>
      <c r="Q92" s="94">
        <f t="shared" si="23"/>
        <v>2299.0400000000004</v>
      </c>
      <c r="R92" s="94">
        <f t="shared" si="23"/>
        <v>2190.1400000000003</v>
      </c>
      <c r="S92" s="94">
        <f t="shared" si="22"/>
        <v>2279.3399999999997</v>
      </c>
      <c r="T92" s="94">
        <f t="shared" si="22"/>
        <v>2253.34</v>
      </c>
      <c r="U92" s="94">
        <f t="shared" si="22"/>
        <v>1896.8400000000001</v>
      </c>
      <c r="V92" s="94">
        <f t="shared" si="22"/>
        <v>2211.2799999999997</v>
      </c>
      <c r="W92" s="94">
        <f t="shared" si="22"/>
        <v>2314.44</v>
      </c>
      <c r="X92" s="94">
        <f t="shared" si="22"/>
        <v>2346.7399999999998</v>
      </c>
      <c r="Y92" s="94">
        <f t="shared" si="22"/>
        <v>2349.7399999999998</v>
      </c>
      <c r="Z92" s="94">
        <f t="shared" si="22"/>
        <v>3.54</v>
      </c>
      <c r="AA92" s="94">
        <f t="shared" si="22"/>
        <v>3.54</v>
      </c>
      <c r="AB92" s="94">
        <f t="shared" si="22"/>
        <v>2235.84</v>
      </c>
      <c r="AC92" s="94">
        <f t="shared" si="22"/>
        <v>2236.94</v>
      </c>
      <c r="AD92" s="94">
        <f t="shared" si="22"/>
        <v>2207.14</v>
      </c>
      <c r="AE92" s="94">
        <f t="shared" si="22"/>
        <v>2337.44</v>
      </c>
      <c r="AF92" s="94">
        <f t="shared" si="22"/>
        <v>2262.2399999999998</v>
      </c>
      <c r="AG92" s="87"/>
      <c r="AH92" s="47">
        <f t="shared" si="14"/>
        <v>2478.64</v>
      </c>
      <c r="AI92" s="48">
        <f t="shared" si="15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4"/>
        <v>0</v>
      </c>
      <c r="AI93" s="48">
        <f t="shared" si="15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4"/>
        <v>0</v>
      </c>
      <c r="AI94" s="48">
        <f t="shared" si="15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4"/>
        <v>0</v>
      </c>
      <c r="AI95" s="48">
        <f t="shared" si="15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4"/>
        <v>0</v>
      </c>
      <c r="AI96" s="48">
        <f t="shared" si="15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4"/>
        <v>0</v>
      </c>
      <c r="AI97" s="48">
        <f t="shared" si="15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4"/>
        <v>0</v>
      </c>
      <c r="AI98" s="48">
        <f t="shared" si="15"/>
        <v>0</v>
      </c>
    </row>
    <row r="99" spans="1:37" ht="15.75" thickBot="1" x14ac:dyDescent="0.3">
      <c r="A99" s="98" t="s">
        <v>107</v>
      </c>
      <c r="B99" s="60">
        <f>B75</f>
        <v>-364.1</v>
      </c>
      <c r="C99" s="60">
        <f t="shared" ref="C99:AF99" si="24">C75</f>
        <v>-357.4</v>
      </c>
      <c r="D99" s="60">
        <f t="shared" si="24"/>
        <v>-375.2</v>
      </c>
      <c r="E99" s="60">
        <f t="shared" si="24"/>
        <v>-374</v>
      </c>
      <c r="F99" s="60">
        <f t="shared" si="24"/>
        <v>-388.5</v>
      </c>
      <c r="G99" s="60">
        <f t="shared" si="24"/>
        <v>-407.7</v>
      </c>
      <c r="H99" s="60">
        <f t="shared" si="24"/>
        <v>-454.7</v>
      </c>
      <c r="I99" s="60">
        <f t="shared" si="24"/>
        <v>-476.9</v>
      </c>
      <c r="J99" s="60">
        <f t="shared" si="24"/>
        <v>-469.1</v>
      </c>
      <c r="K99" s="60">
        <f t="shared" si="24"/>
        <v>-464</v>
      </c>
      <c r="L99" s="60">
        <f t="shared" si="24"/>
        <v>-375</v>
      </c>
      <c r="M99" s="60">
        <f t="shared" ref="M99:R99" si="25">M75</f>
        <v>-372.4</v>
      </c>
      <c r="N99" s="60">
        <f t="shared" si="25"/>
        <v>-357.2</v>
      </c>
      <c r="O99" s="60">
        <f t="shared" si="25"/>
        <v>-314.89999999999998</v>
      </c>
      <c r="P99" s="60">
        <f t="shared" si="25"/>
        <v>-314.7</v>
      </c>
      <c r="Q99" s="60">
        <f t="shared" si="25"/>
        <v>-340</v>
      </c>
      <c r="R99" s="60">
        <f t="shared" si="25"/>
        <v>-226.8</v>
      </c>
      <c r="S99" s="60">
        <f t="shared" si="24"/>
        <v>-306</v>
      </c>
      <c r="T99" s="60">
        <f t="shared" si="24"/>
        <v>-285</v>
      </c>
      <c r="U99" s="60">
        <f t="shared" si="24"/>
        <v>0</v>
      </c>
      <c r="V99" s="60">
        <f t="shared" si="24"/>
        <v>-276</v>
      </c>
      <c r="W99" s="60">
        <f t="shared" si="24"/>
        <v>-364</v>
      </c>
      <c r="X99" s="60">
        <f t="shared" si="24"/>
        <v>-360</v>
      </c>
      <c r="Y99" s="60">
        <f t="shared" si="24"/>
        <v>-370</v>
      </c>
      <c r="Z99" s="60">
        <f t="shared" si="24"/>
        <v>0</v>
      </c>
      <c r="AA99" s="60">
        <f t="shared" si="24"/>
        <v>0</v>
      </c>
      <c r="AB99" s="60">
        <f t="shared" si="24"/>
        <v>-219.3</v>
      </c>
      <c r="AC99" s="60">
        <f t="shared" si="24"/>
        <v>-217.5</v>
      </c>
      <c r="AD99" s="60">
        <f t="shared" si="24"/>
        <v>-203.1</v>
      </c>
      <c r="AE99" s="60">
        <f t="shared" si="24"/>
        <v>-357.2</v>
      </c>
      <c r="AF99" s="60">
        <f t="shared" si="24"/>
        <v>-302</v>
      </c>
      <c r="AG99" s="87"/>
      <c r="AH99" s="47">
        <f t="shared" si="14"/>
        <v>0</v>
      </c>
      <c r="AI99" s="48">
        <f t="shared" si="15"/>
        <v>-476.9</v>
      </c>
      <c r="AK99" s="50"/>
    </row>
    <row r="100" spans="1:37" ht="15.75" thickBot="1" x14ac:dyDescent="0.3">
      <c r="A100" s="73" t="s">
        <v>108</v>
      </c>
      <c r="B100" s="60">
        <f t="shared" ref="B100:AF100" si="26">B84-B99</f>
        <v>364.1</v>
      </c>
      <c r="C100" s="60">
        <f t="shared" si="26"/>
        <v>357.4</v>
      </c>
      <c r="D100" s="60">
        <f t="shared" si="26"/>
        <v>375.2</v>
      </c>
      <c r="E100" s="60">
        <f t="shared" si="26"/>
        <v>374</v>
      </c>
      <c r="F100" s="60">
        <f t="shared" si="26"/>
        <v>388.5</v>
      </c>
      <c r="G100" s="60">
        <f t="shared" si="26"/>
        <v>407.7</v>
      </c>
      <c r="H100" s="60">
        <f t="shared" si="26"/>
        <v>454.7</v>
      </c>
      <c r="I100" s="60">
        <f t="shared" si="26"/>
        <v>476.9</v>
      </c>
      <c r="J100" s="60">
        <f t="shared" si="26"/>
        <v>469.1</v>
      </c>
      <c r="K100" s="60">
        <f t="shared" si="26"/>
        <v>464</v>
      </c>
      <c r="L100" s="60">
        <f t="shared" si="26"/>
        <v>375</v>
      </c>
      <c r="M100" s="60">
        <f t="shared" ref="M100:R100" si="27">M84-M99</f>
        <v>372.4</v>
      </c>
      <c r="N100" s="60">
        <f t="shared" si="27"/>
        <v>357.2</v>
      </c>
      <c r="O100" s="60">
        <f t="shared" si="27"/>
        <v>314.89999999999998</v>
      </c>
      <c r="P100" s="60">
        <f t="shared" si="27"/>
        <v>314.7</v>
      </c>
      <c r="Q100" s="60">
        <f t="shared" si="27"/>
        <v>340</v>
      </c>
      <c r="R100" s="60">
        <f t="shared" si="27"/>
        <v>226.8</v>
      </c>
      <c r="S100" s="60">
        <f t="shared" si="26"/>
        <v>306</v>
      </c>
      <c r="T100" s="60">
        <f t="shared" si="26"/>
        <v>285</v>
      </c>
      <c r="U100" s="60">
        <f t="shared" si="26"/>
        <v>10</v>
      </c>
      <c r="V100" s="60">
        <f t="shared" si="26"/>
        <v>286</v>
      </c>
      <c r="W100" s="60">
        <f t="shared" si="26"/>
        <v>374</v>
      </c>
      <c r="X100" s="60">
        <f t="shared" si="26"/>
        <v>370</v>
      </c>
      <c r="Y100" s="60">
        <f t="shared" si="26"/>
        <v>370</v>
      </c>
      <c r="Z100" s="60">
        <f t="shared" si="26"/>
        <v>0</v>
      </c>
      <c r="AA100" s="60">
        <f t="shared" si="26"/>
        <v>0</v>
      </c>
      <c r="AB100" s="60">
        <f t="shared" si="26"/>
        <v>242.8</v>
      </c>
      <c r="AC100" s="60">
        <f t="shared" si="26"/>
        <v>237.9</v>
      </c>
      <c r="AD100" s="60">
        <f t="shared" si="26"/>
        <v>208.1</v>
      </c>
      <c r="AE100" s="60">
        <f t="shared" si="26"/>
        <v>362.2</v>
      </c>
      <c r="AF100" s="60">
        <f t="shared" si="26"/>
        <v>307</v>
      </c>
      <c r="AG100" s="87"/>
      <c r="AH100" s="47">
        <f t="shared" si="14"/>
        <v>476.9</v>
      </c>
      <c r="AI100" s="48">
        <f t="shared" si="15"/>
        <v>0</v>
      </c>
    </row>
    <row r="101" spans="1:37" x14ac:dyDescent="0.25">
      <c r="A101" s="99" t="s">
        <v>109</v>
      </c>
      <c r="B101" s="100">
        <v>50.006999999999998</v>
      </c>
      <c r="C101" s="100">
        <v>49.954000000000001</v>
      </c>
      <c r="D101" s="100">
        <v>50.002000000000002</v>
      </c>
      <c r="E101" s="100">
        <v>49.957000000000001</v>
      </c>
      <c r="F101" s="100">
        <v>50.04</v>
      </c>
      <c r="G101" s="100">
        <v>50.024999999999999</v>
      </c>
      <c r="H101" s="100">
        <v>50.006</v>
      </c>
      <c r="I101" s="100">
        <v>49.912999999999997</v>
      </c>
      <c r="J101" s="100">
        <v>49.988</v>
      </c>
      <c r="K101" s="100">
        <v>50.009</v>
      </c>
      <c r="L101" s="100">
        <v>50.021999999999998</v>
      </c>
      <c r="M101" s="100">
        <v>49.98</v>
      </c>
      <c r="N101" s="100">
        <v>50.07</v>
      </c>
      <c r="O101" s="100">
        <v>50.07</v>
      </c>
      <c r="P101" s="100">
        <v>50.018999999999998</v>
      </c>
      <c r="Q101" s="100">
        <v>50</v>
      </c>
      <c r="R101" s="100">
        <v>50.015999999999998</v>
      </c>
      <c r="S101" s="100">
        <v>49.972000000000001</v>
      </c>
      <c r="T101" s="100">
        <v>49.942999999999998</v>
      </c>
      <c r="U101" s="100">
        <v>50.036000000000001</v>
      </c>
      <c r="V101" s="100">
        <v>50.042999999999999</v>
      </c>
      <c r="W101" s="100">
        <v>49.911999999999999</v>
      </c>
      <c r="X101" s="100">
        <v>50.11</v>
      </c>
      <c r="Y101" s="100">
        <v>49.97</v>
      </c>
      <c r="Z101" s="100"/>
      <c r="AA101" s="100"/>
      <c r="AB101" s="100">
        <v>49.932000000000002</v>
      </c>
      <c r="AC101" s="100">
        <v>49.881</v>
      </c>
      <c r="AD101" s="100">
        <v>49.787999999999997</v>
      </c>
      <c r="AE101" s="100">
        <v>49.661999999999999</v>
      </c>
      <c r="AF101" s="100">
        <v>49.747999999999998</v>
      </c>
      <c r="AG101" s="101"/>
      <c r="AH101" s="47">
        <f t="shared" si="14"/>
        <v>50.11</v>
      </c>
      <c r="AI101" s="48">
        <f t="shared" si="15"/>
        <v>49.661999999999999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4"/>
        <v>0</v>
      </c>
      <c r="AI102" s="48">
        <f t="shared" si="15"/>
        <v>0</v>
      </c>
    </row>
    <row r="103" spans="1:37" x14ac:dyDescent="0.25">
      <c r="A103" s="102" t="s">
        <v>111</v>
      </c>
      <c r="B103" s="64">
        <v>129.30000000000001</v>
      </c>
      <c r="C103" s="64">
        <v>129.69999999999999</v>
      </c>
      <c r="D103" s="64">
        <v>130.1</v>
      </c>
      <c r="E103" s="64">
        <v>130.5</v>
      </c>
      <c r="F103" s="64">
        <v>130</v>
      </c>
      <c r="G103" s="64">
        <v>129.9</v>
      </c>
      <c r="H103" s="64">
        <v>129.69999999999999</v>
      </c>
      <c r="I103" s="64">
        <v>128.69999999999999</v>
      </c>
      <c r="J103" s="64">
        <v>128.19999999999999</v>
      </c>
      <c r="K103" s="64">
        <v>127.1</v>
      </c>
      <c r="L103" s="64">
        <v>126.2</v>
      </c>
      <c r="M103" s="64">
        <v>125.6</v>
      </c>
      <c r="N103" s="64">
        <v>125.2</v>
      </c>
      <c r="O103" s="64">
        <v>33.4</v>
      </c>
      <c r="P103" s="64">
        <v>125.4</v>
      </c>
      <c r="Q103" s="64">
        <v>62.7</v>
      </c>
      <c r="R103" s="64">
        <v>62.9</v>
      </c>
      <c r="S103" s="64">
        <v>124.9</v>
      </c>
      <c r="T103" s="64">
        <v>125.5</v>
      </c>
      <c r="U103" s="64">
        <v>126</v>
      </c>
      <c r="V103" s="64">
        <v>128.80000000000001</v>
      </c>
      <c r="W103" s="64">
        <v>127.1</v>
      </c>
      <c r="X103" s="64">
        <v>127.3</v>
      </c>
      <c r="Y103" s="64">
        <v>127.3</v>
      </c>
      <c r="Z103" s="64"/>
      <c r="AA103" s="64"/>
      <c r="AB103" s="64">
        <v>127.7</v>
      </c>
      <c r="AC103" s="64">
        <v>128.6</v>
      </c>
      <c r="AD103" s="64">
        <v>128.5</v>
      </c>
      <c r="AE103" s="64">
        <v>128.19999999999999</v>
      </c>
      <c r="AF103" s="64">
        <v>127</v>
      </c>
      <c r="AG103" s="103"/>
      <c r="AH103" s="47">
        <f t="shared" si="14"/>
        <v>130.5</v>
      </c>
      <c r="AI103" s="48">
        <f t="shared" si="15"/>
        <v>33.4</v>
      </c>
    </row>
    <row r="104" spans="1:37" x14ac:dyDescent="0.25">
      <c r="A104" s="102" t="s">
        <v>112</v>
      </c>
      <c r="B104" s="64">
        <v>128.69999999999999</v>
      </c>
      <c r="C104" s="64">
        <v>129.1</v>
      </c>
      <c r="D104" s="64">
        <v>128.4</v>
      </c>
      <c r="E104" s="64">
        <v>128.80000000000001</v>
      </c>
      <c r="F104" s="64">
        <v>130.4</v>
      </c>
      <c r="G104" s="64">
        <v>131.30000000000001</v>
      </c>
      <c r="H104" s="64">
        <v>130.9</v>
      </c>
      <c r="I104" s="64">
        <v>129.9</v>
      </c>
      <c r="J104" s="64">
        <v>125.9</v>
      </c>
      <c r="K104" s="64">
        <v>126.3</v>
      </c>
      <c r="L104" s="64">
        <v>127</v>
      </c>
      <c r="M104" s="64">
        <v>128.4</v>
      </c>
      <c r="N104" s="64">
        <v>128.4</v>
      </c>
      <c r="O104" s="64">
        <v>127.2</v>
      </c>
      <c r="P104" s="64">
        <v>127.1</v>
      </c>
      <c r="Q104" s="64">
        <v>128.80000000000001</v>
      </c>
      <c r="R104" s="64">
        <v>128.69999999999999</v>
      </c>
      <c r="S104" s="64">
        <v>124.9</v>
      </c>
      <c r="T104" s="64">
        <v>128.69999999999999</v>
      </c>
      <c r="U104" s="64">
        <v>129</v>
      </c>
      <c r="V104" s="64">
        <v>130.1</v>
      </c>
      <c r="W104" s="64">
        <v>129.4</v>
      </c>
      <c r="X104" s="64">
        <v>130</v>
      </c>
      <c r="Y104" s="64">
        <v>130</v>
      </c>
      <c r="Z104" s="64"/>
      <c r="AA104" s="64"/>
      <c r="AB104" s="64">
        <v>128.80000000000001</v>
      </c>
      <c r="AC104" s="64">
        <v>127.3</v>
      </c>
      <c r="AD104" s="64">
        <v>126.1</v>
      </c>
      <c r="AE104" s="64">
        <v>127.4</v>
      </c>
      <c r="AF104" s="64">
        <v>126.5</v>
      </c>
      <c r="AG104" s="103"/>
      <c r="AH104" s="47">
        <f t="shared" si="14"/>
        <v>131.30000000000001</v>
      </c>
      <c r="AI104" s="48">
        <f t="shared" si="15"/>
        <v>124.9</v>
      </c>
    </row>
    <row r="105" spans="1:37" x14ac:dyDescent="0.25">
      <c r="A105" s="104" t="s">
        <v>113</v>
      </c>
      <c r="B105" s="64">
        <v>134</v>
      </c>
      <c r="C105" s="64">
        <v>132.1</v>
      </c>
      <c r="D105" s="64">
        <v>130.4</v>
      </c>
      <c r="E105" s="64">
        <v>131.4</v>
      </c>
      <c r="F105" s="64">
        <v>132.6</v>
      </c>
      <c r="G105" s="64">
        <v>132.9</v>
      </c>
      <c r="H105" s="64">
        <v>133</v>
      </c>
      <c r="I105" s="64">
        <v>131.80000000000001</v>
      </c>
      <c r="J105" s="64">
        <v>130.19999999999999</v>
      </c>
      <c r="K105" s="64">
        <v>131.19999999999999</v>
      </c>
      <c r="L105" s="64">
        <v>131.1</v>
      </c>
      <c r="M105" s="64">
        <v>131</v>
      </c>
      <c r="N105" s="64">
        <v>132.30000000000001</v>
      </c>
      <c r="O105" s="64">
        <v>129.5</v>
      </c>
      <c r="P105" s="64">
        <v>131.4</v>
      </c>
      <c r="Q105" s="64">
        <v>132.4</v>
      </c>
      <c r="R105" s="64">
        <v>132.1</v>
      </c>
      <c r="S105" s="64">
        <v>127.8</v>
      </c>
      <c r="T105" s="64">
        <v>130.30000000000001</v>
      </c>
      <c r="U105" s="64">
        <v>132.5</v>
      </c>
      <c r="V105" s="64">
        <v>133.5</v>
      </c>
      <c r="W105" s="64">
        <v>132.5</v>
      </c>
      <c r="X105" s="64">
        <v>132</v>
      </c>
      <c r="Y105" s="64">
        <v>132</v>
      </c>
      <c r="Z105" s="64"/>
      <c r="AA105" s="64"/>
      <c r="AB105" s="64">
        <v>131.6</v>
      </c>
      <c r="AC105" s="64">
        <v>131.1</v>
      </c>
      <c r="AD105" s="64">
        <v>129</v>
      </c>
      <c r="AE105" s="64">
        <v>131.19999999999999</v>
      </c>
      <c r="AF105" s="64">
        <v>130.9</v>
      </c>
      <c r="AG105" s="103"/>
      <c r="AH105" s="47">
        <f t="shared" si="14"/>
        <v>134</v>
      </c>
      <c r="AI105" s="48">
        <f t="shared" si="15"/>
        <v>127.8</v>
      </c>
    </row>
    <row r="106" spans="1:37" x14ac:dyDescent="0.25">
      <c r="A106" s="104" t="s">
        <v>114</v>
      </c>
      <c r="B106" s="105">
        <v>133.1</v>
      </c>
      <c r="C106" s="105">
        <v>133.4</v>
      </c>
      <c r="D106" s="105">
        <v>132.4</v>
      </c>
      <c r="E106" s="105">
        <v>134.30000000000001</v>
      </c>
      <c r="F106" s="105">
        <v>131</v>
      </c>
      <c r="G106" s="105">
        <v>131.9</v>
      </c>
      <c r="H106" s="105">
        <v>129.69999999999999</v>
      </c>
      <c r="I106" s="105">
        <v>130.9</v>
      </c>
      <c r="J106" s="105">
        <v>130.80000000000001</v>
      </c>
      <c r="K106" s="105">
        <v>132.4</v>
      </c>
      <c r="L106" s="105">
        <v>133.80000000000001</v>
      </c>
      <c r="M106" s="105">
        <v>129</v>
      </c>
      <c r="N106" s="105">
        <v>131.4</v>
      </c>
      <c r="O106" s="105">
        <v>131.19999999999999</v>
      </c>
      <c r="P106" s="105">
        <v>130.80000000000001</v>
      </c>
      <c r="Q106" s="105">
        <v>131.69999999999999</v>
      </c>
      <c r="R106" s="105">
        <v>133.1</v>
      </c>
      <c r="S106" s="105">
        <v>131.5</v>
      </c>
      <c r="T106" s="105">
        <v>131.69999999999999</v>
      </c>
      <c r="U106" s="105">
        <v>132</v>
      </c>
      <c r="V106" s="105">
        <v>133.30000000000001</v>
      </c>
      <c r="W106" s="105">
        <v>132.80000000000001</v>
      </c>
      <c r="X106" s="105">
        <v>133</v>
      </c>
      <c r="Y106" s="105">
        <v>133</v>
      </c>
      <c r="Z106" s="105"/>
      <c r="AA106" s="105"/>
      <c r="AB106" s="105">
        <v>132.69999999999999</v>
      </c>
      <c r="AC106" s="105">
        <v>133.1</v>
      </c>
      <c r="AD106" s="105">
        <v>132.6</v>
      </c>
      <c r="AE106" s="105">
        <v>132.30000000000001</v>
      </c>
      <c r="AF106" s="105">
        <v>130.1</v>
      </c>
      <c r="AG106" s="106"/>
      <c r="AH106" s="47">
        <f t="shared" si="14"/>
        <v>134.30000000000001</v>
      </c>
      <c r="AI106" s="48">
        <f t="shared" si="15"/>
        <v>129</v>
      </c>
    </row>
    <row r="107" spans="1:37" x14ac:dyDescent="0.25">
      <c r="A107" s="102" t="s">
        <v>115</v>
      </c>
      <c r="B107" s="64">
        <v>126.6</v>
      </c>
      <c r="C107" s="64">
        <v>127</v>
      </c>
      <c r="D107" s="64">
        <v>127</v>
      </c>
      <c r="E107" s="64">
        <v>132.1</v>
      </c>
      <c r="F107" s="64"/>
      <c r="G107" s="64"/>
      <c r="H107" s="64"/>
      <c r="I107" s="64"/>
      <c r="J107" s="64"/>
      <c r="K107" s="64"/>
      <c r="L107" s="64"/>
      <c r="M107" s="64"/>
      <c r="N107" s="64"/>
      <c r="O107" s="64">
        <v>127.1</v>
      </c>
      <c r="P107" s="64">
        <v>129</v>
      </c>
      <c r="Q107" s="64">
        <v>133.19999999999999</v>
      </c>
      <c r="R107" s="64">
        <v>128.9</v>
      </c>
      <c r="S107" s="64">
        <v>134.1</v>
      </c>
      <c r="T107" s="64">
        <v>131.1</v>
      </c>
      <c r="U107" s="64">
        <v>132.30000000000001</v>
      </c>
      <c r="V107" s="64">
        <v>133.5</v>
      </c>
      <c r="W107" s="64">
        <v>127</v>
      </c>
      <c r="X107" s="64">
        <v>128</v>
      </c>
      <c r="Y107" s="64">
        <v>128</v>
      </c>
      <c r="Z107" s="64"/>
      <c r="AA107" s="64"/>
      <c r="AB107" s="64">
        <v>126.4</v>
      </c>
      <c r="AC107" s="64">
        <v>129.80000000000001</v>
      </c>
      <c r="AD107" s="64">
        <v>127</v>
      </c>
      <c r="AE107" s="64">
        <v>130.30000000000001</v>
      </c>
      <c r="AF107" s="64"/>
      <c r="AG107" s="103"/>
      <c r="AH107" s="47">
        <f t="shared" si="14"/>
        <v>134.1</v>
      </c>
      <c r="AI107" s="48">
        <f t="shared" si="15"/>
        <v>126.4</v>
      </c>
    </row>
    <row r="108" spans="1:37" ht="15.75" thickBot="1" x14ac:dyDescent="0.3">
      <c r="A108" s="102" t="s">
        <v>116</v>
      </c>
      <c r="B108" s="91">
        <v>65.099999999999994</v>
      </c>
      <c r="C108" s="91">
        <v>65.2</v>
      </c>
      <c r="D108" s="91">
        <v>65.7</v>
      </c>
      <c r="E108" s="91">
        <v>65.8</v>
      </c>
      <c r="F108" s="91">
        <v>65.7</v>
      </c>
      <c r="G108" s="91">
        <v>65.7</v>
      </c>
      <c r="H108" s="91">
        <v>65.400000000000006</v>
      </c>
      <c r="I108" s="91">
        <v>65</v>
      </c>
      <c r="J108" s="91">
        <v>65</v>
      </c>
      <c r="K108" s="91">
        <v>64.2</v>
      </c>
      <c r="L108" s="91">
        <v>63.4</v>
      </c>
      <c r="M108" s="91">
        <v>63.1</v>
      </c>
      <c r="N108" s="91">
        <v>63.5</v>
      </c>
      <c r="O108" s="91">
        <v>61.8</v>
      </c>
      <c r="P108" s="91">
        <v>62.8</v>
      </c>
      <c r="Q108" s="91">
        <v>62.8</v>
      </c>
      <c r="R108" s="91">
        <v>62.8</v>
      </c>
      <c r="S108" s="91">
        <v>62.8</v>
      </c>
      <c r="T108" s="91">
        <v>63</v>
      </c>
      <c r="U108" s="91">
        <v>64</v>
      </c>
      <c r="V108" s="91">
        <v>64.7</v>
      </c>
      <c r="W108" s="91">
        <v>63.7</v>
      </c>
      <c r="X108" s="91">
        <v>63.8</v>
      </c>
      <c r="Y108" s="91">
        <v>63.8</v>
      </c>
      <c r="Z108" s="91"/>
      <c r="AA108" s="91"/>
      <c r="AB108" s="91">
        <v>64.8</v>
      </c>
      <c r="AC108" s="91">
        <v>64.7</v>
      </c>
      <c r="AD108" s="91">
        <v>64.900000000000006</v>
      </c>
      <c r="AE108" s="91">
        <v>64.8</v>
      </c>
      <c r="AF108" s="91"/>
      <c r="AG108" s="107"/>
      <c r="AH108" s="47">
        <f t="shared" si="14"/>
        <v>65.8</v>
      </c>
      <c r="AI108" s="48">
        <f t="shared" si="15"/>
        <v>61.8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4"/>
        <v>0</v>
      </c>
      <c r="AI109" s="48">
        <f t="shared" si="15"/>
        <v>0</v>
      </c>
    </row>
    <row r="110" spans="1:37" ht="15.75" thickBot="1" x14ac:dyDescent="0.3">
      <c r="A110" s="109" t="s">
        <v>118</v>
      </c>
      <c r="B110" s="110">
        <f t="shared" ref="B110:L110" si="28">SUM(B20,B26,B29:B30,B58,B60:B61,B63,B65,B111:B115,B138,B144,B150,B159,B161,B173,B180,B183:B184,B191,B193,B195,B199:B201,B203:B205,B210,B216:B217,B219:B221,B229,B234)</f>
        <v>34.499999999999986</v>
      </c>
      <c r="C110" s="110">
        <f t="shared" si="28"/>
        <v>18.439999999999991</v>
      </c>
      <c r="D110" s="110">
        <f t="shared" si="28"/>
        <v>12.23999999999999</v>
      </c>
      <c r="E110" s="110">
        <f t="shared" si="28"/>
        <v>7.8400000000000221</v>
      </c>
      <c r="F110" s="110">
        <f t="shared" si="28"/>
        <v>8.2400000000000055</v>
      </c>
      <c r="G110" s="110">
        <f t="shared" si="28"/>
        <v>26.239999999999966</v>
      </c>
      <c r="H110" s="110">
        <f t="shared" si="28"/>
        <v>47.639999999999993</v>
      </c>
      <c r="I110" s="110">
        <f t="shared" si="28"/>
        <v>80.839999999999975</v>
      </c>
      <c r="J110" s="110">
        <f t="shared" si="28"/>
        <v>126.83999999999999</v>
      </c>
      <c r="K110" s="110">
        <f t="shared" si="28"/>
        <v>152.34</v>
      </c>
      <c r="L110" s="110">
        <f t="shared" si="28"/>
        <v>182.24</v>
      </c>
      <c r="M110" s="110">
        <f t="shared" ref="M110:R110" si="29">SUM(M20,M26,M29:M30,M58,M60:M61,M63,M65,M111:M115,M138,M144,M150,M159,M161,M173,M180,M183:M184,M191,M193,M195,M199:M201,M203:M205,M210,M216:M217,M219:M221,M229,M234)</f>
        <v>170.63999999999996</v>
      </c>
      <c r="N110" s="110">
        <f t="shared" si="29"/>
        <v>170.83999999999997</v>
      </c>
      <c r="O110" s="110">
        <f t="shared" si="29"/>
        <v>198.54</v>
      </c>
      <c r="P110" s="110">
        <f t="shared" si="29"/>
        <v>189.23999999999998</v>
      </c>
      <c r="Q110" s="110">
        <f t="shared" si="29"/>
        <v>192.89999999999998</v>
      </c>
      <c r="R110" s="110">
        <f t="shared" si="29"/>
        <v>184.90000000000003</v>
      </c>
      <c r="S110" s="110">
        <f t="shared" ref="S110:AF110" si="30">SUM(S20,S26,S29:S30,S58,S60:S61,S63,S65,S111:S115,S138,S144,S150,S159,S161,S173,S180,S183:S184,S191,S193,S195,S199:S201,S203:S205,S210,S216:S217,S219:S221,S229,S234)</f>
        <v>170.40000000000003</v>
      </c>
      <c r="T110" s="110">
        <f t="shared" si="30"/>
        <v>170.10000000000002</v>
      </c>
      <c r="U110" s="110">
        <f t="shared" si="30"/>
        <v>163.89999999999998</v>
      </c>
      <c r="V110" s="110">
        <f t="shared" si="30"/>
        <v>168.4</v>
      </c>
      <c r="W110" s="110">
        <f t="shared" si="30"/>
        <v>168</v>
      </c>
      <c r="X110" s="110">
        <f t="shared" si="30"/>
        <v>196.39999999999998</v>
      </c>
      <c r="Y110" s="110">
        <f t="shared" si="30"/>
        <v>196.39999999999998</v>
      </c>
      <c r="Z110" s="110">
        <f t="shared" si="30"/>
        <v>0</v>
      </c>
      <c r="AA110" s="110">
        <f t="shared" si="30"/>
        <v>0</v>
      </c>
      <c r="AB110" s="110">
        <f t="shared" si="30"/>
        <v>300.29999999999995</v>
      </c>
      <c r="AC110" s="110">
        <f t="shared" si="30"/>
        <v>275.8</v>
      </c>
      <c r="AD110" s="110"/>
      <c r="AE110" s="110">
        <f t="shared" si="30"/>
        <v>96.199999999999989</v>
      </c>
      <c r="AF110" s="110">
        <f t="shared" si="30"/>
        <v>110.8</v>
      </c>
      <c r="AG110" s="111"/>
      <c r="AH110" s="47">
        <f t="shared" si="14"/>
        <v>300.29999999999995</v>
      </c>
      <c r="AI110" s="48">
        <f t="shared" si="15"/>
        <v>0</v>
      </c>
    </row>
    <row r="111" spans="1:37" x14ac:dyDescent="0.25">
      <c r="A111" s="99" t="s">
        <v>119</v>
      </c>
      <c r="B111" s="112">
        <v>13.5</v>
      </c>
      <c r="C111" s="112">
        <v>9.1999999999999993</v>
      </c>
      <c r="D111" s="112">
        <v>10.199999999999999</v>
      </c>
      <c r="E111" s="112">
        <v>7.5</v>
      </c>
      <c r="F111" s="112">
        <v>8.6</v>
      </c>
      <c r="G111" s="112">
        <v>13.2</v>
      </c>
      <c r="H111" s="112">
        <v>19.2</v>
      </c>
      <c r="I111" s="112">
        <v>26.7</v>
      </c>
      <c r="J111" s="112">
        <v>34.6</v>
      </c>
      <c r="K111" s="112">
        <v>42.2</v>
      </c>
      <c r="L111" s="112">
        <v>36.200000000000003</v>
      </c>
      <c r="M111" s="112">
        <v>33.799999999999997</v>
      </c>
      <c r="N111" s="112">
        <v>28.3</v>
      </c>
      <c r="O111" s="112">
        <v>33.799999999999997</v>
      </c>
      <c r="P111" s="112">
        <v>29.8</v>
      </c>
      <c r="Q111" s="112">
        <v>22.2</v>
      </c>
      <c r="R111" s="112">
        <v>20.8</v>
      </c>
      <c r="S111" s="112">
        <v>19.899999999999999</v>
      </c>
      <c r="T111" s="112">
        <v>16.5</v>
      </c>
      <c r="U111" s="112">
        <v>16.5</v>
      </c>
      <c r="V111" s="112">
        <v>7.2</v>
      </c>
      <c r="W111" s="112">
        <v>37.1</v>
      </c>
      <c r="X111" s="112">
        <v>36</v>
      </c>
      <c r="Y111" s="112">
        <v>36</v>
      </c>
      <c r="Z111" s="112"/>
      <c r="AA111" s="112"/>
      <c r="AB111" s="112">
        <v>40.799999999999997</v>
      </c>
      <c r="AC111" s="112">
        <v>41.8</v>
      </c>
      <c r="AD111" s="112">
        <v>43.8</v>
      </c>
      <c r="AE111" s="112">
        <v>27.9</v>
      </c>
      <c r="AF111" s="112"/>
      <c r="AG111" s="113">
        <v>75</v>
      </c>
      <c r="AH111" s="47">
        <f t="shared" si="14"/>
        <v>43.8</v>
      </c>
      <c r="AI111" s="48">
        <f t="shared" si="15"/>
        <v>7.2</v>
      </c>
    </row>
    <row r="112" spans="1:37" x14ac:dyDescent="0.25">
      <c r="A112" s="102" t="s">
        <v>120</v>
      </c>
      <c r="B112" s="114">
        <v>21.6</v>
      </c>
      <c r="C112" s="114">
        <v>16.7</v>
      </c>
      <c r="D112" s="114">
        <v>18</v>
      </c>
      <c r="E112" s="114">
        <v>13.3</v>
      </c>
      <c r="F112" s="114">
        <v>15.1</v>
      </c>
      <c r="G112" s="114">
        <v>22</v>
      </c>
      <c r="H112" s="114">
        <v>29.2</v>
      </c>
      <c r="I112" s="114">
        <v>40.799999999999997</v>
      </c>
      <c r="J112" s="114">
        <v>49.5</v>
      </c>
      <c r="K112" s="114">
        <v>60</v>
      </c>
      <c r="L112" s="114">
        <v>49</v>
      </c>
      <c r="M112" s="114">
        <v>44.6</v>
      </c>
      <c r="N112" s="114">
        <v>38</v>
      </c>
      <c r="O112" s="114">
        <v>44.8</v>
      </c>
      <c r="P112" s="114">
        <v>39.9</v>
      </c>
      <c r="Q112" s="114">
        <v>31.7</v>
      </c>
      <c r="R112" s="114">
        <v>27.5</v>
      </c>
      <c r="S112" s="114">
        <v>25.8</v>
      </c>
      <c r="T112" s="114">
        <v>24.6</v>
      </c>
      <c r="U112" s="114">
        <v>24.6</v>
      </c>
      <c r="V112" s="114">
        <v>8</v>
      </c>
      <c r="W112" s="114">
        <v>33.1</v>
      </c>
      <c r="X112" s="114">
        <v>45</v>
      </c>
      <c r="Y112" s="114">
        <v>45</v>
      </c>
      <c r="Z112" s="114"/>
      <c r="AA112" s="114"/>
      <c r="AB112" s="114">
        <v>55</v>
      </c>
      <c r="AC112" s="114">
        <v>55.8</v>
      </c>
      <c r="AD112" s="114">
        <v>60.2</v>
      </c>
      <c r="AE112" s="114">
        <v>38.6</v>
      </c>
      <c r="AF112" s="114"/>
      <c r="AG112" s="113">
        <v>240</v>
      </c>
      <c r="AH112" s="47">
        <f t="shared" si="14"/>
        <v>60.2</v>
      </c>
      <c r="AI112" s="48">
        <f t="shared" si="15"/>
        <v>8</v>
      </c>
    </row>
    <row r="113" spans="1:37" x14ac:dyDescent="0.25">
      <c r="A113" s="102" t="s">
        <v>121</v>
      </c>
      <c r="B113" s="114">
        <f>-68-72</f>
        <v>-140</v>
      </c>
      <c r="C113" s="114">
        <f>-71-76</f>
        <v>-147</v>
      </c>
      <c r="D113" s="114">
        <f>-70-75</f>
        <v>-145</v>
      </c>
      <c r="E113" s="114">
        <f>-69.5-72.7</f>
        <v>-142.19999999999999</v>
      </c>
      <c r="F113" s="114">
        <f>-69.8-73.3</f>
        <v>-143.1</v>
      </c>
      <c r="G113" s="114">
        <f>-67.9-71.2</f>
        <v>-139.10000000000002</v>
      </c>
      <c r="H113" s="114">
        <f>-64.5-68.1</f>
        <v>-132.6</v>
      </c>
      <c r="I113" s="114">
        <v>-116</v>
      </c>
      <c r="J113" s="114">
        <f>-44.8-48.8</f>
        <v>-93.6</v>
      </c>
      <c r="K113" s="114">
        <f>-47.6-51.1</f>
        <v>-98.7</v>
      </c>
      <c r="L113" s="114">
        <f>-22.6-23.6</f>
        <v>-46.2</v>
      </c>
      <c r="M113" s="114">
        <v>-46.4</v>
      </c>
      <c r="N113" s="114">
        <v>-46.9</v>
      </c>
      <c r="O113" s="114">
        <v>-56.8</v>
      </c>
      <c r="P113" s="114">
        <v>-41.2</v>
      </c>
      <c r="Q113" s="114">
        <v>-50.9</v>
      </c>
      <c r="R113" s="114">
        <v>-42</v>
      </c>
      <c r="S113" s="114">
        <v>-47</v>
      </c>
      <c r="T113" s="114">
        <v>-41.2</v>
      </c>
      <c r="U113" s="114">
        <v>-41.2</v>
      </c>
      <c r="V113" s="114">
        <v>-24.6</v>
      </c>
      <c r="W113" s="114">
        <v>-74</v>
      </c>
      <c r="X113" s="114">
        <v>-50</v>
      </c>
      <c r="Y113" s="114">
        <v>-50</v>
      </c>
      <c r="Z113" s="114"/>
      <c r="AA113" s="114"/>
      <c r="AB113" s="114">
        <v>-50.9</v>
      </c>
      <c r="AC113" s="114">
        <v>-47</v>
      </c>
      <c r="AD113" s="114">
        <v>-58</v>
      </c>
      <c r="AE113" s="114">
        <v>-121</v>
      </c>
      <c r="AF113" s="114"/>
      <c r="AG113" s="113">
        <v>240</v>
      </c>
      <c r="AH113" s="47">
        <f t="shared" si="14"/>
        <v>-24.6</v>
      </c>
      <c r="AI113" s="48">
        <f t="shared" si="15"/>
        <v>-147</v>
      </c>
    </row>
    <row r="114" spans="1:37" x14ac:dyDescent="0.25">
      <c r="A114" s="102" t="s">
        <v>122</v>
      </c>
      <c r="B114" s="114">
        <v>-4.7</v>
      </c>
      <c r="C114" s="114">
        <v>-6.7</v>
      </c>
      <c r="D114" s="114">
        <v>-6.4</v>
      </c>
      <c r="E114" s="114">
        <v>-6.2</v>
      </c>
      <c r="F114" s="114">
        <v>-7.6</v>
      </c>
      <c r="G114" s="114">
        <v>-5.3</v>
      </c>
      <c r="H114" s="114">
        <v>-3.4</v>
      </c>
      <c r="I114" s="114">
        <v>0</v>
      </c>
      <c r="J114" s="114">
        <v>7.2</v>
      </c>
      <c r="K114" s="114">
        <v>8.6</v>
      </c>
      <c r="L114" s="114">
        <v>13.2</v>
      </c>
      <c r="M114" s="114">
        <v>12.1</v>
      </c>
      <c r="N114" s="114">
        <v>13.6</v>
      </c>
      <c r="O114" s="114">
        <v>15.1</v>
      </c>
      <c r="P114" s="114">
        <v>26.1</v>
      </c>
      <c r="Q114" s="114">
        <v>23.2</v>
      </c>
      <c r="R114" s="114">
        <v>23.3</v>
      </c>
      <c r="S114" s="114">
        <v>22.4</v>
      </c>
      <c r="T114" s="114">
        <v>23</v>
      </c>
      <c r="U114" s="114">
        <v>23</v>
      </c>
      <c r="V114" s="114">
        <v>27.3</v>
      </c>
      <c r="W114" s="114">
        <v>16.5</v>
      </c>
      <c r="X114" s="114">
        <v>18</v>
      </c>
      <c r="Y114" s="114">
        <v>18</v>
      </c>
      <c r="Z114" s="114"/>
      <c r="AA114" s="114"/>
      <c r="AB114" s="114">
        <v>29.9</v>
      </c>
      <c r="AC114" s="114">
        <v>14.5</v>
      </c>
      <c r="AD114" s="114">
        <v>12.8</v>
      </c>
      <c r="AE114" s="114">
        <v>1.1000000000000001</v>
      </c>
      <c r="AF114" s="114"/>
      <c r="AG114" s="113">
        <v>60</v>
      </c>
      <c r="AH114" s="47">
        <f t="shared" si="14"/>
        <v>29.9</v>
      </c>
      <c r="AI114" s="48">
        <f t="shared" si="15"/>
        <v>-7.6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18.2</v>
      </c>
      <c r="W115" s="116">
        <v>28.6</v>
      </c>
      <c r="X115" s="116">
        <v>0</v>
      </c>
      <c r="Y115" s="116">
        <v>0</v>
      </c>
      <c r="Z115" s="116"/>
      <c r="AA115" s="116"/>
      <c r="AB115" s="116">
        <v>89.6</v>
      </c>
      <c r="AC115" s="116">
        <v>74.8</v>
      </c>
      <c r="AD115" s="116">
        <v>61.6</v>
      </c>
      <c r="AE115" s="116">
        <v>33.799999999999997</v>
      </c>
      <c r="AF115" s="116"/>
      <c r="AG115" s="117">
        <v>120</v>
      </c>
      <c r="AH115" s="47">
        <f t="shared" si="14"/>
        <v>89.6</v>
      </c>
      <c r="AI115" s="48">
        <f t="shared" si="15"/>
        <v>0</v>
      </c>
    </row>
    <row r="116" spans="1:37" x14ac:dyDescent="0.25">
      <c r="A116" s="115" t="s">
        <v>124</v>
      </c>
      <c r="B116" s="116">
        <v>36</v>
      </c>
      <c r="C116" s="116">
        <v>43.3</v>
      </c>
      <c r="D116" s="116">
        <v>36.9</v>
      </c>
      <c r="E116" s="116">
        <v>43.4</v>
      </c>
      <c r="F116" s="116">
        <v>36.9</v>
      </c>
      <c r="G116" s="116">
        <v>31</v>
      </c>
      <c r="H116" s="116">
        <v>21.7</v>
      </c>
      <c r="I116" s="116">
        <v>24</v>
      </c>
      <c r="J116" s="116">
        <v>24</v>
      </c>
      <c r="K116" s="116">
        <v>23</v>
      </c>
      <c r="L116" s="116">
        <v>71.2</v>
      </c>
      <c r="M116" s="116">
        <v>69.900000000000006</v>
      </c>
      <c r="N116" s="116">
        <v>84.7</v>
      </c>
      <c r="O116" s="116">
        <v>94.7</v>
      </c>
      <c r="P116" s="116">
        <v>82.7</v>
      </c>
      <c r="Q116" s="116">
        <v>76.2</v>
      </c>
      <c r="R116" s="116">
        <v>81.900000000000006</v>
      </c>
      <c r="S116" s="116">
        <v>81.400000000000006</v>
      </c>
      <c r="T116" s="116">
        <v>93.9</v>
      </c>
      <c r="U116" s="116">
        <v>93.9</v>
      </c>
      <c r="V116" s="116">
        <v>99</v>
      </c>
      <c r="W116" s="116">
        <v>73</v>
      </c>
      <c r="X116" s="116">
        <v>56</v>
      </c>
      <c r="Y116" s="116">
        <v>56</v>
      </c>
      <c r="Z116" s="116"/>
      <c r="AA116" s="116"/>
      <c r="AB116" s="116">
        <v>62.2</v>
      </c>
      <c r="AC116" s="116">
        <v>84.6</v>
      </c>
      <c r="AD116" s="116">
        <v>57.4</v>
      </c>
      <c r="AE116" s="116">
        <v>20.9</v>
      </c>
      <c r="AF116" s="116"/>
      <c r="AG116" s="117"/>
      <c r="AH116" s="47">
        <f t="shared" si="14"/>
        <v>99</v>
      </c>
      <c r="AI116" s="48">
        <f t="shared" si="15"/>
        <v>20.9</v>
      </c>
    </row>
    <row r="117" spans="1:37" x14ac:dyDescent="0.25">
      <c r="A117" s="115" t="s">
        <v>125</v>
      </c>
      <c r="B117" s="116">
        <v>-10</v>
      </c>
      <c r="C117" s="116">
        <v>6.7</v>
      </c>
      <c r="D117" s="116">
        <v>8.8000000000000007</v>
      </c>
      <c r="E117" s="116">
        <v>1.9</v>
      </c>
      <c r="F117" s="116">
        <v>-2.5</v>
      </c>
      <c r="G117" s="116">
        <v>-9.1999999999999993</v>
      </c>
      <c r="H117" s="116">
        <v>-22.8</v>
      </c>
      <c r="I117" s="116">
        <v>-23.6</v>
      </c>
      <c r="J117" s="116">
        <v>-23.6</v>
      </c>
      <c r="K117" s="116">
        <v>-53.2</v>
      </c>
      <c r="L117" s="116">
        <v>-41.2</v>
      </c>
      <c r="M117" s="116">
        <v>-47</v>
      </c>
      <c r="N117" s="116">
        <v>-34.799999999999997</v>
      </c>
      <c r="O117" s="116">
        <v>-32.299999999999997</v>
      </c>
      <c r="P117" s="116">
        <v>32.6</v>
      </c>
      <c r="Q117" s="116">
        <v>-27.3</v>
      </c>
      <c r="R117" s="116">
        <v>-35.4</v>
      </c>
      <c r="S117" s="116">
        <v>-38.9</v>
      </c>
      <c r="T117" s="116">
        <v>-39.200000000000003</v>
      </c>
      <c r="U117" s="116">
        <v>-39.200000000000003</v>
      </c>
      <c r="V117" s="116">
        <v>1.6</v>
      </c>
      <c r="W117" s="116">
        <v>-16</v>
      </c>
      <c r="X117" s="116">
        <v>-16</v>
      </c>
      <c r="Y117" s="116">
        <v>-16</v>
      </c>
      <c r="Z117" s="116"/>
      <c r="AA117" s="116"/>
      <c r="AB117" s="116">
        <v>-16.8</v>
      </c>
      <c r="AC117" s="116">
        <v>-15.5</v>
      </c>
      <c r="AD117" s="116">
        <v>-17.399999999999999</v>
      </c>
      <c r="AE117" s="116">
        <v>-10.3</v>
      </c>
      <c r="AF117" s="116"/>
      <c r="AG117" s="118"/>
      <c r="AH117" s="47">
        <f t="shared" si="14"/>
        <v>32.6</v>
      </c>
      <c r="AI117" s="48">
        <f t="shared" si="15"/>
        <v>-53.2</v>
      </c>
    </row>
    <row r="118" spans="1:37" x14ac:dyDescent="0.25">
      <c r="A118" s="119" t="s">
        <v>126</v>
      </c>
      <c r="B118" s="105">
        <v>37.700000000000003</v>
      </c>
      <c r="C118" s="105">
        <v>41</v>
      </c>
      <c r="D118" s="105">
        <v>44.4</v>
      </c>
      <c r="E118" s="105">
        <v>47.3</v>
      </c>
      <c r="F118" s="105">
        <v>48.1</v>
      </c>
      <c r="G118" s="105">
        <v>50.7</v>
      </c>
      <c r="H118" s="105">
        <v>52.5</v>
      </c>
      <c r="I118" s="105">
        <v>56</v>
      </c>
      <c r="J118" s="105">
        <v>56</v>
      </c>
      <c r="K118" s="105">
        <v>39.799999999999997</v>
      </c>
      <c r="L118" s="105">
        <v>35.5</v>
      </c>
      <c r="M118" s="105">
        <v>34</v>
      </c>
      <c r="N118" s="105">
        <v>49.4</v>
      </c>
      <c r="O118" s="105">
        <v>37.5</v>
      </c>
      <c r="P118" s="105">
        <v>45.5</v>
      </c>
      <c r="Q118" s="105">
        <v>38.5</v>
      </c>
      <c r="R118" s="105">
        <v>34.799999999999997</v>
      </c>
      <c r="S118" s="105">
        <v>32.9</v>
      </c>
      <c r="T118" s="105">
        <v>32.6</v>
      </c>
      <c r="U118" s="105">
        <v>32.6</v>
      </c>
      <c r="V118" s="105">
        <v>35.200000000000003</v>
      </c>
      <c r="W118" s="105">
        <v>37.799999999999997</v>
      </c>
      <c r="X118" s="105">
        <v>19</v>
      </c>
      <c r="Y118" s="105">
        <v>19</v>
      </c>
      <c r="Z118" s="105"/>
      <c r="AA118" s="105"/>
      <c r="AB118" s="105">
        <v>17.5</v>
      </c>
      <c r="AC118" s="105">
        <v>23</v>
      </c>
      <c r="AD118" s="105">
        <v>18.100000000000001</v>
      </c>
      <c r="AE118" s="105">
        <v>31.1</v>
      </c>
      <c r="AF118" s="105"/>
      <c r="AG118" s="118"/>
      <c r="AH118" s="47">
        <f t="shared" si="14"/>
        <v>56</v>
      </c>
      <c r="AI118" s="48">
        <f t="shared" si="15"/>
        <v>17.5</v>
      </c>
    </row>
    <row r="119" spans="1:37" x14ac:dyDescent="0.25">
      <c r="A119" s="120" t="s">
        <v>127</v>
      </c>
      <c r="B119" s="105">
        <v>98</v>
      </c>
      <c r="C119" s="105">
        <v>96</v>
      </c>
      <c r="D119" s="105">
        <v>94.5</v>
      </c>
      <c r="E119" s="105">
        <v>92.4</v>
      </c>
      <c r="F119" s="105">
        <v>92</v>
      </c>
      <c r="G119" s="105">
        <v>95.8</v>
      </c>
      <c r="H119" s="105">
        <v>98.2</v>
      </c>
      <c r="I119" s="105">
        <v>92.5</v>
      </c>
      <c r="J119" s="105">
        <v>92.5</v>
      </c>
      <c r="K119" s="105">
        <v>92.1</v>
      </c>
      <c r="L119" s="105">
        <v>84.8</v>
      </c>
      <c r="M119" s="105">
        <v>81</v>
      </c>
      <c r="N119" s="105">
        <v>73.3</v>
      </c>
      <c r="O119" s="105">
        <v>83.2</v>
      </c>
      <c r="P119" s="105">
        <v>76.2</v>
      </c>
      <c r="Q119" s="105">
        <v>71</v>
      </c>
      <c r="R119" s="105">
        <v>66.599999999999994</v>
      </c>
      <c r="S119" s="105">
        <v>53.6</v>
      </c>
      <c r="T119" s="105">
        <v>56.6</v>
      </c>
      <c r="U119" s="105">
        <v>56.6</v>
      </c>
      <c r="V119" s="105">
        <v>0</v>
      </c>
      <c r="W119" s="105">
        <v>99.6</v>
      </c>
      <c r="X119" s="105">
        <v>85</v>
      </c>
      <c r="Y119" s="105">
        <v>85</v>
      </c>
      <c r="Z119" s="105"/>
      <c r="AA119" s="105"/>
      <c r="AB119" s="105">
        <v>82.9</v>
      </c>
      <c r="AC119" s="105">
        <v>67.400000000000006</v>
      </c>
      <c r="AD119" s="105">
        <v>95.2</v>
      </c>
      <c r="AE119" s="105">
        <v>94</v>
      </c>
      <c r="AF119" s="105"/>
      <c r="AG119" s="118"/>
      <c r="AH119" s="47">
        <f t="shared" si="14"/>
        <v>99.6</v>
      </c>
      <c r="AI119" s="48">
        <f t="shared" si="15"/>
        <v>0</v>
      </c>
    </row>
    <row r="120" spans="1:37" ht="15.75" thickBot="1" x14ac:dyDescent="0.3">
      <c r="A120" s="119" t="s">
        <v>128</v>
      </c>
      <c r="B120" s="105">
        <v>37.1</v>
      </c>
      <c r="C120" s="105">
        <v>26</v>
      </c>
      <c r="D120" s="105">
        <v>22.9</v>
      </c>
      <c r="E120" s="105">
        <v>21.1</v>
      </c>
      <c r="F120" s="105">
        <v>18.8</v>
      </c>
      <c r="G120" s="105">
        <v>13.3</v>
      </c>
      <c r="H120" s="105">
        <v>3.6</v>
      </c>
      <c r="I120" s="105">
        <v>-6.2</v>
      </c>
      <c r="J120" s="105">
        <v>-6.2</v>
      </c>
      <c r="K120" s="105">
        <v>10.4</v>
      </c>
      <c r="L120" s="105">
        <v>12.5</v>
      </c>
      <c r="M120" s="105">
        <v>14.9</v>
      </c>
      <c r="N120" s="105">
        <v>3.1</v>
      </c>
      <c r="O120" s="105">
        <v>16.2</v>
      </c>
      <c r="P120" s="105">
        <v>20</v>
      </c>
      <c r="Q120" s="105">
        <v>73.900000000000006</v>
      </c>
      <c r="R120" s="105">
        <v>22.4</v>
      </c>
      <c r="S120" s="105">
        <v>21</v>
      </c>
      <c r="T120" s="105">
        <v>21.3</v>
      </c>
      <c r="U120" s="105">
        <v>21.3</v>
      </c>
      <c r="V120" s="105">
        <v>13.1</v>
      </c>
      <c r="W120" s="105">
        <v>9.1999999999999993</v>
      </c>
      <c r="X120" s="105">
        <v>18</v>
      </c>
      <c r="Y120" s="105">
        <v>18</v>
      </c>
      <c r="Z120" s="105"/>
      <c r="AA120" s="105"/>
      <c r="AB120" s="105">
        <v>44.1</v>
      </c>
      <c r="AC120" s="105">
        <v>41.1</v>
      </c>
      <c r="AD120" s="105">
        <v>41.7</v>
      </c>
      <c r="AE120" s="105">
        <v>37.200000000000003</v>
      </c>
      <c r="AF120" s="105"/>
      <c r="AG120" s="118"/>
      <c r="AH120" s="47">
        <f t="shared" si="14"/>
        <v>73.900000000000006</v>
      </c>
      <c r="AI120" s="48">
        <f t="shared" si="15"/>
        <v>-6.2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31">SUM(B122:B226)</f>
        <v>0</v>
      </c>
      <c r="C227" s="136">
        <f t="shared" si="31"/>
        <v>0</v>
      </c>
      <c r="D227" s="136">
        <f t="shared" si="31"/>
        <v>0</v>
      </c>
      <c r="E227" s="136">
        <f t="shared" si="31"/>
        <v>0</v>
      </c>
      <c r="F227" s="136">
        <f t="shared" si="31"/>
        <v>0</v>
      </c>
      <c r="G227" s="136">
        <f t="shared" si="31"/>
        <v>0</v>
      </c>
      <c r="H227" s="136">
        <f t="shared" si="31"/>
        <v>0</v>
      </c>
      <c r="I227" s="136">
        <f t="shared" si="31"/>
        <v>0</v>
      </c>
      <c r="J227" s="136">
        <f t="shared" si="31"/>
        <v>0</v>
      </c>
      <c r="K227" s="136">
        <f t="shared" si="31"/>
        <v>0</v>
      </c>
      <c r="L227" s="136">
        <f t="shared" si="31"/>
        <v>0</v>
      </c>
      <c r="M227" s="136">
        <f t="shared" si="31"/>
        <v>0</v>
      </c>
      <c r="N227" s="136">
        <f t="shared" si="31"/>
        <v>0</v>
      </c>
      <c r="O227" s="136">
        <f t="shared" si="31"/>
        <v>0</v>
      </c>
      <c r="P227" s="136">
        <f t="shared" si="31"/>
        <v>0</v>
      </c>
      <c r="Q227" s="136">
        <f t="shared" si="31"/>
        <v>0</v>
      </c>
      <c r="R227" s="136">
        <f t="shared" si="31"/>
        <v>0</v>
      </c>
      <c r="S227" s="136">
        <f t="shared" si="31"/>
        <v>0</v>
      </c>
      <c r="T227" s="136">
        <f t="shared" si="31"/>
        <v>0</v>
      </c>
      <c r="U227" s="136">
        <f t="shared" si="31"/>
        <v>0</v>
      </c>
      <c r="V227" s="136">
        <f t="shared" si="31"/>
        <v>0</v>
      </c>
      <c r="W227" s="136">
        <f t="shared" si="31"/>
        <v>0</v>
      </c>
      <c r="X227" s="136">
        <f t="shared" si="31"/>
        <v>0</v>
      </c>
      <c r="Y227" s="136">
        <f t="shared" si="31"/>
        <v>0</v>
      </c>
      <c r="Z227" s="136">
        <f t="shared" si="31"/>
        <v>0</v>
      </c>
      <c r="AA227" s="136">
        <f t="shared" si="31"/>
        <v>0</v>
      </c>
      <c r="AB227" s="136">
        <f t="shared" si="31"/>
        <v>0</v>
      </c>
      <c r="AC227" s="136">
        <f t="shared" si="31"/>
        <v>0</v>
      </c>
      <c r="AD227" s="136">
        <f t="shared" si="31"/>
        <v>0</v>
      </c>
      <c r="AE227" s="136">
        <f t="shared" si="31"/>
        <v>0</v>
      </c>
      <c r="AF227" s="137">
        <f t="shared" si="31"/>
        <v>0</v>
      </c>
      <c r="AG227" s="138">
        <f t="shared" si="31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2">AF229</f>
        <v>0</v>
      </c>
      <c r="C229" s="140">
        <v>0.3</v>
      </c>
      <c r="D229" s="140">
        <f t="shared" ref="D229:P234" si="33">C229</f>
        <v>0.3</v>
      </c>
      <c r="E229" s="140">
        <f t="shared" si="33"/>
        <v>0.3</v>
      </c>
      <c r="F229" s="140">
        <f t="shared" si="33"/>
        <v>0.3</v>
      </c>
      <c r="G229" s="140">
        <f t="shared" si="33"/>
        <v>0.3</v>
      </c>
      <c r="H229" s="140">
        <f t="shared" si="33"/>
        <v>0.3</v>
      </c>
      <c r="I229" s="140">
        <f t="shared" si="33"/>
        <v>0.3</v>
      </c>
      <c r="J229" s="140">
        <f t="shared" si="33"/>
        <v>0.3</v>
      </c>
      <c r="K229" s="140">
        <f t="shared" si="33"/>
        <v>0.3</v>
      </c>
      <c r="L229" s="140">
        <f t="shared" si="33"/>
        <v>0.3</v>
      </c>
      <c r="M229" s="140">
        <f t="shared" si="33"/>
        <v>0.3</v>
      </c>
      <c r="N229" s="140">
        <f t="shared" si="33"/>
        <v>0.3</v>
      </c>
      <c r="O229" s="140">
        <f t="shared" si="33"/>
        <v>0.3</v>
      </c>
      <c r="P229" s="140">
        <f t="shared" si="33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2"/>
        <v>0</v>
      </c>
      <c r="C230" s="128">
        <v>0.4</v>
      </c>
      <c r="D230" s="128">
        <f t="shared" si="33"/>
        <v>0.4</v>
      </c>
      <c r="E230" s="128">
        <f t="shared" si="33"/>
        <v>0.4</v>
      </c>
      <c r="F230" s="128">
        <f t="shared" si="33"/>
        <v>0.4</v>
      </c>
      <c r="G230" s="128">
        <f t="shared" si="33"/>
        <v>0.4</v>
      </c>
      <c r="H230" s="128">
        <f t="shared" si="33"/>
        <v>0.4</v>
      </c>
      <c r="I230" s="128">
        <f t="shared" si="33"/>
        <v>0.4</v>
      </c>
      <c r="J230" s="128">
        <f t="shared" si="33"/>
        <v>0.4</v>
      </c>
      <c r="K230" s="128">
        <f t="shared" si="33"/>
        <v>0.4</v>
      </c>
      <c r="L230" s="128">
        <f t="shared" si="33"/>
        <v>0.4</v>
      </c>
      <c r="M230" s="128">
        <f t="shared" si="33"/>
        <v>0.4</v>
      </c>
      <c r="N230" s="128">
        <f t="shared" si="33"/>
        <v>0.4</v>
      </c>
      <c r="O230" s="128">
        <f t="shared" si="33"/>
        <v>0.4</v>
      </c>
      <c r="P230" s="128">
        <f t="shared" si="33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2"/>
        <v>0</v>
      </c>
      <c r="C231" s="128">
        <v>1.5</v>
      </c>
      <c r="D231" s="128">
        <f t="shared" si="33"/>
        <v>1.5</v>
      </c>
      <c r="E231" s="128">
        <f t="shared" si="33"/>
        <v>1.5</v>
      </c>
      <c r="F231" s="128">
        <f t="shared" si="33"/>
        <v>1.5</v>
      </c>
      <c r="G231" s="128">
        <f t="shared" si="33"/>
        <v>1.5</v>
      </c>
      <c r="H231" s="128">
        <f t="shared" si="33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3"/>
        <v>123.21900000000009</v>
      </c>
      <c r="K231" s="128">
        <f t="shared" ca="1" si="33"/>
        <v>123.21900000000009</v>
      </c>
      <c r="L231" s="128">
        <f t="shared" ca="1" si="33"/>
        <v>123.21900000000009</v>
      </c>
      <c r="M231" s="128">
        <f t="shared" ca="1" si="33"/>
        <v>119.19900000000008</v>
      </c>
      <c r="N231" s="128">
        <f t="shared" ca="1" si="33"/>
        <v>119.19900000000008</v>
      </c>
      <c r="O231" s="128">
        <f t="shared" ca="1" si="33"/>
        <v>119.19900000000008</v>
      </c>
      <c r="P231" s="128">
        <f t="shared" ca="1" si="33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2"/>
        <v>0</v>
      </c>
      <c r="C232" s="128">
        <v>0.3</v>
      </c>
      <c r="D232" s="128">
        <f t="shared" si="33"/>
        <v>0.3</v>
      </c>
      <c r="E232" s="128">
        <f t="shared" si="33"/>
        <v>0.3</v>
      </c>
      <c r="F232" s="128">
        <f t="shared" si="33"/>
        <v>0.3</v>
      </c>
      <c r="G232" s="128">
        <f t="shared" si="33"/>
        <v>0.3</v>
      </c>
      <c r="H232" s="128">
        <f t="shared" si="33"/>
        <v>0.3</v>
      </c>
      <c r="I232" s="128">
        <f t="shared" si="33"/>
        <v>0.3</v>
      </c>
      <c r="J232" s="128">
        <f t="shared" si="33"/>
        <v>0.3</v>
      </c>
      <c r="K232" s="128">
        <f t="shared" si="33"/>
        <v>0.3</v>
      </c>
      <c r="L232" s="128">
        <f t="shared" si="33"/>
        <v>0.3</v>
      </c>
      <c r="M232" s="128">
        <f t="shared" si="33"/>
        <v>0.3</v>
      </c>
      <c r="N232" s="128">
        <f t="shared" si="33"/>
        <v>0.3</v>
      </c>
      <c r="O232" s="128">
        <f t="shared" si="33"/>
        <v>0.3</v>
      </c>
      <c r="P232" s="128">
        <f t="shared" si="33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2"/>
        <v>0</v>
      </c>
      <c r="C233" s="128">
        <v>0.4</v>
      </c>
      <c r="D233" s="128">
        <f t="shared" si="33"/>
        <v>0.4</v>
      </c>
      <c r="E233" s="128">
        <f t="shared" si="33"/>
        <v>0.4</v>
      </c>
      <c r="F233" s="128">
        <f t="shared" si="33"/>
        <v>0.4</v>
      </c>
      <c r="G233" s="128">
        <f t="shared" si="33"/>
        <v>0.4</v>
      </c>
      <c r="H233" s="128">
        <f t="shared" si="33"/>
        <v>0.4</v>
      </c>
      <c r="I233" s="128">
        <f t="shared" si="33"/>
        <v>0.4</v>
      </c>
      <c r="J233" s="128">
        <f t="shared" si="33"/>
        <v>0.4</v>
      </c>
      <c r="K233" s="128">
        <f t="shared" si="33"/>
        <v>0.4</v>
      </c>
      <c r="L233" s="128">
        <f t="shared" si="33"/>
        <v>0.4</v>
      </c>
      <c r="M233" s="128">
        <f t="shared" si="33"/>
        <v>0.4</v>
      </c>
      <c r="N233" s="128">
        <f t="shared" si="33"/>
        <v>0.4</v>
      </c>
      <c r="O233" s="128">
        <f t="shared" si="33"/>
        <v>0.4</v>
      </c>
      <c r="P233" s="128">
        <f t="shared" si="33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2"/>
        <v>0</v>
      </c>
      <c r="C234" s="132">
        <v>0.64</v>
      </c>
      <c r="D234" s="132">
        <f t="shared" si="33"/>
        <v>0.64</v>
      </c>
      <c r="E234" s="132">
        <f t="shared" si="33"/>
        <v>0.64</v>
      </c>
      <c r="F234" s="132">
        <f t="shared" si="33"/>
        <v>0.64</v>
      </c>
      <c r="G234" s="132">
        <f t="shared" si="33"/>
        <v>0.64</v>
      </c>
      <c r="H234" s="132">
        <f t="shared" si="33"/>
        <v>0.64</v>
      </c>
      <c r="I234" s="132">
        <f t="shared" si="33"/>
        <v>0.64</v>
      </c>
      <c r="J234" s="132">
        <f t="shared" si="33"/>
        <v>0.64</v>
      </c>
      <c r="K234" s="132">
        <f t="shared" si="33"/>
        <v>0.64</v>
      </c>
      <c r="L234" s="132">
        <f t="shared" si="33"/>
        <v>0.64</v>
      </c>
      <c r="M234" s="132">
        <f t="shared" si="33"/>
        <v>0.64</v>
      </c>
      <c r="N234" s="132">
        <f t="shared" si="33"/>
        <v>0.64</v>
      </c>
      <c r="O234" s="132">
        <f t="shared" si="33"/>
        <v>0.64</v>
      </c>
      <c r="P234" s="132">
        <f t="shared" si="33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4">SUM(B229:B234)</f>
        <v>0</v>
      </c>
      <c r="C235" s="136">
        <f t="shared" si="34"/>
        <v>3.54</v>
      </c>
      <c r="D235" s="136">
        <f t="shared" si="34"/>
        <v>3.54</v>
      </c>
      <c r="E235" s="136">
        <f t="shared" si="34"/>
        <v>3.54</v>
      </c>
      <c r="F235" s="136">
        <f t="shared" si="34"/>
        <v>3.54</v>
      </c>
      <c r="G235" s="136">
        <f t="shared" si="34"/>
        <v>3.54</v>
      </c>
      <c r="H235" s="136">
        <f t="shared" si="34"/>
        <v>3.54</v>
      </c>
      <c r="I235" s="136">
        <f t="shared" ca="1" si="34"/>
        <v>121.23900000000009</v>
      </c>
      <c r="J235" s="136">
        <f t="shared" ca="1" si="34"/>
        <v>121.23900000000009</v>
      </c>
      <c r="K235" s="136">
        <f t="shared" ca="1" si="34"/>
        <v>121.23900000000009</v>
      </c>
      <c r="L235" s="136">
        <f t="shared" ca="1" si="34"/>
        <v>125.2590000000001</v>
      </c>
      <c r="M235" s="136">
        <f t="shared" ca="1" si="34"/>
        <v>121.23900000000009</v>
      </c>
      <c r="N235" s="136">
        <f t="shared" ca="1" si="34"/>
        <v>121.23900000000009</v>
      </c>
      <c r="O235" s="136">
        <f t="shared" ca="1" si="34"/>
        <v>121.23900000000009</v>
      </c>
      <c r="P235" s="136">
        <f t="shared" ca="1" si="34"/>
        <v>121.23900000000009</v>
      </c>
      <c r="Q235" s="136">
        <f t="shared" si="34"/>
        <v>0</v>
      </c>
      <c r="R235" s="136">
        <f t="shared" si="34"/>
        <v>0</v>
      </c>
      <c r="S235" s="136">
        <f t="shared" si="34"/>
        <v>0</v>
      </c>
      <c r="T235" s="136">
        <f t="shared" si="34"/>
        <v>0</v>
      </c>
      <c r="U235" s="136">
        <f t="shared" si="34"/>
        <v>0</v>
      </c>
      <c r="V235" s="136">
        <f t="shared" si="34"/>
        <v>0</v>
      </c>
      <c r="W235" s="136">
        <f t="shared" si="34"/>
        <v>0</v>
      </c>
      <c r="X235" s="136">
        <f t="shared" si="34"/>
        <v>0</v>
      </c>
      <c r="Y235" s="136">
        <f t="shared" si="34"/>
        <v>0</v>
      </c>
      <c r="Z235" s="136">
        <f t="shared" si="34"/>
        <v>0</v>
      </c>
      <c r="AA235" s="136">
        <f t="shared" si="34"/>
        <v>0</v>
      </c>
      <c r="AB235" s="136">
        <f t="shared" si="34"/>
        <v>0</v>
      </c>
      <c r="AC235" s="136">
        <f t="shared" si="34"/>
        <v>0</v>
      </c>
      <c r="AD235" s="136">
        <f t="shared" si="34"/>
        <v>0</v>
      </c>
      <c r="AE235" s="136">
        <f t="shared" si="34"/>
        <v>0</v>
      </c>
      <c r="AF235" s="136">
        <f t="shared" si="34"/>
        <v>0</v>
      </c>
      <c r="AG235" s="145">
        <f t="shared" si="34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2014.6399999999999</v>
      </c>
      <c r="C244" s="161">
        <f>INDEX(G9:N9,1,MATCH(MAX(G91:N91),G91:N91,0))</f>
        <v>0.29166666666666669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5">B91</f>
        <v>1991.2400000000002</v>
      </c>
      <c r="U249" s="170">
        <f t="shared" si="35"/>
        <v>2001.64</v>
      </c>
      <c r="V249" s="170">
        <f t="shared" si="35"/>
        <v>1979.94</v>
      </c>
      <c r="W249" s="170">
        <f t="shared" si="35"/>
        <v>1974.44</v>
      </c>
      <c r="X249" s="170">
        <f t="shared" si="35"/>
        <v>1960.14</v>
      </c>
      <c r="Y249" s="170">
        <f t="shared" si="35"/>
        <v>1972.0400000000002</v>
      </c>
      <c r="Z249" s="170">
        <f t="shared" si="35"/>
        <v>1993.8400000000001</v>
      </c>
      <c r="AA249" s="170">
        <f t="shared" si="35"/>
        <v>2001.44</v>
      </c>
      <c r="AB249" s="170">
        <f t="shared" si="35"/>
        <v>1984.24</v>
      </c>
      <c r="AC249" s="170">
        <f t="shared" si="35"/>
        <v>2014.6399999999999</v>
      </c>
      <c r="AD249" s="170">
        <f t="shared" si="35"/>
        <v>1975.34</v>
      </c>
      <c r="AE249" s="170">
        <f t="shared" si="35"/>
        <v>1945.44</v>
      </c>
      <c r="AF249" s="170">
        <f t="shared" si="35"/>
        <v>1952.74</v>
      </c>
      <c r="AG249" s="170">
        <f t="shared" si="35"/>
        <v>1995.94</v>
      </c>
      <c r="AH249" s="170">
        <f t="shared" si="35"/>
        <v>1965.4399999999998</v>
      </c>
      <c r="AI249" s="170">
        <f t="shared" si="35"/>
        <v>1959.0400000000004</v>
      </c>
      <c r="AJ249" s="170">
        <f t="shared" si="35"/>
        <v>1963.3400000000001</v>
      </c>
      <c r="AK249" s="170">
        <f t="shared" si="35"/>
        <v>1973.3399999999997</v>
      </c>
      <c r="AL249" s="170">
        <f t="shared" si="35"/>
        <v>1968.34</v>
      </c>
      <c r="AM249" s="170">
        <f t="shared" si="35"/>
        <v>1896.8400000000001</v>
      </c>
      <c r="AN249" s="170">
        <f t="shared" si="35"/>
        <v>1935.2799999999997</v>
      </c>
      <c r="AO249" s="170">
        <f t="shared" si="35"/>
        <v>1950.44</v>
      </c>
      <c r="AP249" s="170">
        <f t="shared" si="35"/>
        <v>1986.74</v>
      </c>
      <c r="AQ249" s="170">
        <f t="shared" si="35"/>
        <v>1979.74</v>
      </c>
      <c r="AR249" s="170">
        <f t="shared" si="35"/>
        <v>3.54</v>
      </c>
      <c r="AS249" s="170">
        <f t="shared" si="35"/>
        <v>3.54</v>
      </c>
      <c r="AT249" s="170">
        <f t="shared" si="35"/>
        <v>2016.54</v>
      </c>
      <c r="AU249" s="170">
        <f t="shared" si="35"/>
        <v>2019.44</v>
      </c>
      <c r="AV249" s="170">
        <f t="shared" si="35"/>
        <v>2004.04</v>
      </c>
      <c r="AW249" s="170">
        <f t="shared" si="35"/>
        <v>1980.24</v>
      </c>
      <c r="AX249" s="170">
        <f t="shared" si="35"/>
        <v>1960.24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6">C234</f>
        <v>0.64</v>
      </c>
      <c r="C270" s="173">
        <f t="shared" si="36"/>
        <v>0.64</v>
      </c>
      <c r="D270" s="173">
        <f t="shared" si="36"/>
        <v>0.64</v>
      </c>
      <c r="E270" s="173">
        <f t="shared" si="36"/>
        <v>0.64</v>
      </c>
      <c r="F270" s="173">
        <f t="shared" si="36"/>
        <v>0.64</v>
      </c>
      <c r="G270" s="173">
        <f t="shared" si="36"/>
        <v>0.64</v>
      </c>
      <c r="H270" s="173">
        <f t="shared" si="36"/>
        <v>0.64</v>
      </c>
      <c r="I270" s="173">
        <f t="shared" si="36"/>
        <v>0.64</v>
      </c>
      <c r="J270" s="173">
        <f t="shared" si="36"/>
        <v>0.64</v>
      </c>
      <c r="K270" s="173">
        <f t="shared" si="36"/>
        <v>0.64</v>
      </c>
      <c r="L270" s="173">
        <f t="shared" si="36"/>
        <v>0.64</v>
      </c>
      <c r="M270" s="173">
        <f t="shared" si="36"/>
        <v>0.64</v>
      </c>
      <c r="N270" s="173">
        <f t="shared" si="36"/>
        <v>0.64</v>
      </c>
      <c r="O270" s="173">
        <f t="shared" si="36"/>
        <v>0.64</v>
      </c>
      <c r="P270" s="173">
        <f t="shared" si="36"/>
        <v>0</v>
      </c>
      <c r="Q270" s="173">
        <f t="shared" si="36"/>
        <v>0</v>
      </c>
      <c r="R270" s="173">
        <f t="shared" si="36"/>
        <v>0</v>
      </c>
      <c r="S270" s="173">
        <f t="shared" si="36"/>
        <v>0</v>
      </c>
      <c r="T270" s="173">
        <f t="shared" si="36"/>
        <v>0</v>
      </c>
      <c r="U270" s="173">
        <f t="shared" si="36"/>
        <v>0</v>
      </c>
      <c r="V270" s="173">
        <f t="shared" si="36"/>
        <v>0</v>
      </c>
      <c r="W270" s="173">
        <f t="shared" si="36"/>
        <v>0</v>
      </c>
      <c r="X270" s="173">
        <f t="shared" si="36"/>
        <v>0</v>
      </c>
      <c r="Y270" s="173">
        <f t="shared" si="36"/>
        <v>0</v>
      </c>
      <c r="Z270" s="173">
        <f t="shared" si="36"/>
        <v>0</v>
      </c>
      <c r="AA270" s="173">
        <f t="shared" si="36"/>
        <v>0</v>
      </c>
      <c r="AB270" s="173">
        <f t="shared" si="36"/>
        <v>0</v>
      </c>
      <c r="AC270" s="173">
        <f t="shared" si="36"/>
        <v>0</v>
      </c>
      <c r="AD270" s="173">
        <f t="shared" si="36"/>
        <v>0</v>
      </c>
      <c r="AE270" s="173">
        <f t="shared" si="36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7">IF(B238&lt;100,"",B238-520)</f>
        <v/>
      </c>
      <c r="C271" s="174" t="str">
        <f t="shared" si="37"/>
        <v/>
      </c>
      <c r="D271" s="174" t="str">
        <f t="shared" si="37"/>
        <v/>
      </c>
      <c r="E271" s="174" t="str">
        <f t="shared" si="37"/>
        <v/>
      </c>
      <c r="F271" s="174" t="str">
        <f t="shared" si="37"/>
        <v/>
      </c>
      <c r="G271" s="174" t="str">
        <f t="shared" si="37"/>
        <v/>
      </c>
      <c r="H271" s="174" t="str">
        <f t="shared" si="37"/>
        <v/>
      </c>
      <c r="I271" s="174" t="str">
        <f t="shared" si="37"/>
        <v/>
      </c>
      <c r="J271" s="174" t="str">
        <f t="shared" si="37"/>
        <v/>
      </c>
      <c r="K271" s="174" t="str">
        <f t="shared" si="37"/>
        <v/>
      </c>
      <c r="L271" s="174" t="str">
        <f t="shared" si="37"/>
        <v/>
      </c>
      <c r="M271" s="174" t="str">
        <f t="shared" si="37"/>
        <v/>
      </c>
      <c r="N271" s="174" t="str">
        <f t="shared" si="37"/>
        <v/>
      </c>
      <c r="O271" s="174" t="str">
        <f t="shared" si="37"/>
        <v/>
      </c>
      <c r="P271" s="174" t="str">
        <f t="shared" si="37"/>
        <v/>
      </c>
      <c r="Q271" s="174" t="str">
        <f t="shared" si="37"/>
        <v/>
      </c>
      <c r="R271" s="174" t="str">
        <f t="shared" si="37"/>
        <v/>
      </c>
      <c r="S271" s="174" t="str">
        <f t="shared" si="37"/>
        <v/>
      </c>
      <c r="T271" s="174" t="str">
        <f t="shared" si="37"/>
        <v/>
      </c>
      <c r="U271" s="174" t="str">
        <f t="shared" si="37"/>
        <v/>
      </c>
      <c r="V271" s="174" t="str">
        <f t="shared" si="37"/>
        <v/>
      </c>
      <c r="W271" s="174" t="str">
        <f t="shared" si="37"/>
        <v/>
      </c>
      <c r="X271" s="174" t="str">
        <f t="shared" si="37"/>
        <v/>
      </c>
      <c r="Y271" s="174" t="str">
        <f t="shared" si="37"/>
        <v/>
      </c>
      <c r="Z271" s="174" t="str">
        <f t="shared" si="37"/>
        <v/>
      </c>
      <c r="AA271" s="174" t="str">
        <f t="shared" si="37"/>
        <v/>
      </c>
      <c r="AB271" s="174" t="str">
        <f t="shared" si="37"/>
        <v/>
      </c>
      <c r="AC271" s="174" t="str">
        <f t="shared" si="37"/>
        <v/>
      </c>
      <c r="AD271" s="174" t="str">
        <f t="shared" si="37"/>
        <v/>
      </c>
      <c r="AE271" s="174" t="str">
        <f t="shared" si="37"/>
        <v/>
      </c>
      <c r="AF271" s="174" t="str">
        <f t="shared" si="37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8">IF(B239&lt;100,"",B239-620)</f>
        <v/>
      </c>
      <c r="C272" s="174" t="str">
        <f t="shared" si="38"/>
        <v/>
      </c>
      <c r="D272" s="174" t="str">
        <f t="shared" si="38"/>
        <v/>
      </c>
      <c r="E272" s="174" t="str">
        <f t="shared" si="38"/>
        <v/>
      </c>
      <c r="F272" s="174" t="str">
        <f t="shared" si="38"/>
        <v/>
      </c>
      <c r="G272" s="174" t="str">
        <f t="shared" si="38"/>
        <v/>
      </c>
      <c r="H272" s="174" t="str">
        <f t="shared" si="38"/>
        <v/>
      </c>
      <c r="I272" s="174" t="str">
        <f t="shared" si="38"/>
        <v/>
      </c>
      <c r="J272" s="174" t="str">
        <f t="shared" si="38"/>
        <v/>
      </c>
      <c r="K272" s="174" t="str">
        <f t="shared" si="38"/>
        <v/>
      </c>
      <c r="L272" s="174" t="str">
        <f t="shared" si="38"/>
        <v/>
      </c>
      <c r="M272" s="174" t="str">
        <f t="shared" si="38"/>
        <v/>
      </c>
      <c r="N272" s="174" t="str">
        <f t="shared" si="38"/>
        <v/>
      </c>
      <c r="O272" s="174" t="str">
        <f t="shared" si="38"/>
        <v/>
      </c>
      <c r="P272" s="174" t="str">
        <f t="shared" si="38"/>
        <v/>
      </c>
      <c r="Q272" s="174" t="str">
        <f t="shared" si="38"/>
        <v/>
      </c>
      <c r="R272" s="174" t="str">
        <f t="shared" si="38"/>
        <v/>
      </c>
      <c r="S272" s="174" t="str">
        <f t="shared" si="38"/>
        <v/>
      </c>
      <c r="T272" s="174" t="str">
        <f t="shared" si="38"/>
        <v/>
      </c>
      <c r="U272" s="174" t="str">
        <f t="shared" si="38"/>
        <v/>
      </c>
      <c r="V272" s="174" t="str">
        <f t="shared" si="38"/>
        <v/>
      </c>
      <c r="W272" s="174" t="str">
        <f t="shared" si="38"/>
        <v/>
      </c>
      <c r="X272" s="174" t="str">
        <f t="shared" si="38"/>
        <v/>
      </c>
      <c r="Y272" s="174" t="str">
        <f t="shared" si="38"/>
        <v/>
      </c>
      <c r="Z272" s="174" t="str">
        <f t="shared" si="38"/>
        <v/>
      </c>
      <c r="AA272" s="174" t="str">
        <f t="shared" si="38"/>
        <v/>
      </c>
      <c r="AB272" s="174" t="str">
        <f t="shared" si="38"/>
        <v/>
      </c>
      <c r="AC272" s="174" t="str">
        <f t="shared" si="38"/>
        <v/>
      </c>
      <c r="AD272" s="174" t="str">
        <f t="shared" si="38"/>
        <v/>
      </c>
      <c r="AE272" s="174" t="str">
        <f t="shared" si="38"/>
        <v/>
      </c>
      <c r="AF272" s="174" t="str">
        <f t="shared" si="38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9">IF(B240&lt;100,"",B240-330)</f>
        <v/>
      </c>
      <c r="C273" s="174" t="str">
        <f t="shared" si="39"/>
        <v/>
      </c>
      <c r="D273" s="174" t="str">
        <f t="shared" si="39"/>
        <v/>
      </c>
      <c r="E273" s="174" t="str">
        <f t="shared" si="39"/>
        <v/>
      </c>
      <c r="F273" s="174" t="str">
        <f t="shared" si="39"/>
        <v/>
      </c>
      <c r="G273" s="174" t="str">
        <f t="shared" si="39"/>
        <v/>
      </c>
      <c r="H273" s="174" t="str">
        <f t="shared" si="39"/>
        <v/>
      </c>
      <c r="I273" s="174" t="str">
        <f t="shared" si="39"/>
        <v/>
      </c>
      <c r="J273" s="174" t="str">
        <f t="shared" si="39"/>
        <v/>
      </c>
      <c r="K273" s="174" t="str">
        <f t="shared" si="39"/>
        <v/>
      </c>
      <c r="L273" s="174" t="str">
        <f t="shared" si="39"/>
        <v/>
      </c>
      <c r="M273" s="174" t="str">
        <f t="shared" si="39"/>
        <v/>
      </c>
      <c r="N273" s="174" t="str">
        <f t="shared" si="39"/>
        <v/>
      </c>
      <c r="O273" s="174" t="str">
        <f t="shared" si="39"/>
        <v/>
      </c>
      <c r="P273" s="174" t="str">
        <f t="shared" si="39"/>
        <v/>
      </c>
      <c r="Q273" s="174" t="str">
        <f t="shared" si="39"/>
        <v/>
      </c>
      <c r="R273" s="174" t="str">
        <f t="shared" si="39"/>
        <v/>
      </c>
      <c r="S273" s="174" t="str">
        <f t="shared" si="39"/>
        <v/>
      </c>
      <c r="T273" s="174" t="str">
        <f t="shared" si="39"/>
        <v/>
      </c>
      <c r="U273" s="174" t="str">
        <f t="shared" si="39"/>
        <v/>
      </c>
      <c r="V273" s="174" t="str">
        <f t="shared" si="39"/>
        <v/>
      </c>
      <c r="W273" s="174" t="str">
        <f t="shared" si="39"/>
        <v/>
      </c>
      <c r="X273" s="174" t="str">
        <f t="shared" si="39"/>
        <v/>
      </c>
      <c r="Y273" s="174" t="str">
        <f t="shared" si="39"/>
        <v/>
      </c>
      <c r="Z273" s="174" t="str">
        <f t="shared" si="39"/>
        <v/>
      </c>
      <c r="AA273" s="174" t="str">
        <f t="shared" si="39"/>
        <v/>
      </c>
      <c r="AB273" s="174" t="str">
        <f t="shared" si="39"/>
        <v/>
      </c>
      <c r="AC273" s="174" t="str">
        <f t="shared" si="39"/>
        <v/>
      </c>
      <c r="AD273" s="174" t="str">
        <f t="shared" si="39"/>
        <v/>
      </c>
      <c r="AE273" s="174" t="str">
        <f t="shared" si="39"/>
        <v/>
      </c>
      <c r="AF273" s="174" t="str">
        <f t="shared" si="39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40">IF(B241&lt;100,"",B241-1500)</f>
        <v/>
      </c>
      <c r="C274" s="174" t="str">
        <f t="shared" si="40"/>
        <v/>
      </c>
      <c r="D274" s="174" t="str">
        <f t="shared" si="40"/>
        <v/>
      </c>
      <c r="E274" s="174" t="str">
        <f t="shared" si="40"/>
        <v/>
      </c>
      <c r="F274" s="174" t="str">
        <f t="shared" si="40"/>
        <v/>
      </c>
      <c r="G274" s="174" t="str">
        <f t="shared" si="40"/>
        <v/>
      </c>
      <c r="H274" s="174" t="str">
        <f t="shared" si="40"/>
        <v/>
      </c>
      <c r="I274" s="174" t="str">
        <f t="shared" si="40"/>
        <v/>
      </c>
      <c r="J274" s="174" t="str">
        <f t="shared" si="40"/>
        <v/>
      </c>
      <c r="K274" s="174" t="str">
        <f t="shared" si="40"/>
        <v/>
      </c>
      <c r="L274" s="174" t="str">
        <f t="shared" si="40"/>
        <v/>
      </c>
      <c r="M274" s="174" t="str">
        <f t="shared" si="40"/>
        <v/>
      </c>
      <c r="N274" s="174" t="str">
        <f t="shared" si="40"/>
        <v/>
      </c>
      <c r="O274" s="174" t="str">
        <f t="shared" si="40"/>
        <v/>
      </c>
      <c r="P274" s="174" t="str">
        <f t="shared" si="40"/>
        <v/>
      </c>
      <c r="Q274" s="174" t="str">
        <f t="shared" si="40"/>
        <v/>
      </c>
      <c r="R274" s="174" t="str">
        <f t="shared" si="40"/>
        <v/>
      </c>
      <c r="S274" s="174" t="str">
        <f t="shared" si="40"/>
        <v/>
      </c>
      <c r="T274" s="174" t="str">
        <f t="shared" si="40"/>
        <v/>
      </c>
      <c r="U274" s="174" t="str">
        <f t="shared" si="40"/>
        <v/>
      </c>
      <c r="V274" s="174" t="str">
        <f t="shared" si="40"/>
        <v/>
      </c>
      <c r="W274" s="174" t="str">
        <f t="shared" si="40"/>
        <v/>
      </c>
      <c r="X274" s="174" t="str">
        <f t="shared" si="40"/>
        <v/>
      </c>
      <c r="Y274" s="174" t="str">
        <f t="shared" si="40"/>
        <v/>
      </c>
      <c r="Z274" s="174" t="str">
        <f t="shared" si="40"/>
        <v/>
      </c>
      <c r="AA274" s="174" t="str">
        <f t="shared" si="40"/>
        <v/>
      </c>
      <c r="AB274" s="174" t="str">
        <f t="shared" si="40"/>
        <v/>
      </c>
      <c r="AC274" s="174" t="str">
        <f t="shared" si="40"/>
        <v/>
      </c>
      <c r="AD274" s="174" t="str">
        <f t="shared" si="40"/>
        <v/>
      </c>
      <c r="AE274" s="174" t="str">
        <f t="shared" si="40"/>
        <v/>
      </c>
      <c r="AF274" s="174" t="str">
        <f t="shared" si="40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507" priority="96">
      <formula>$AH11=0</formula>
    </cfRule>
  </conditionalFormatting>
  <conditionalFormatting sqref="B8 M8 S8 AB8">
    <cfRule type="expression" dxfId="2506" priority="149">
      <formula>C$9&lt;8/24</formula>
    </cfRule>
    <cfRule type="expression" dxfId="2505" priority="147">
      <formula>AND(C$9&gt;=14/24,C$9&lt;20/24)</formula>
    </cfRule>
    <cfRule type="expression" dxfId="2504" priority="148">
      <formula>AND(C$9&gt;=8/24,C$9&lt;14/24)</formula>
    </cfRule>
  </conditionalFormatting>
  <conditionalFormatting sqref="B48:B66 C59:AF66">
    <cfRule type="expression" dxfId="2503" priority="1">
      <formula>B48&gt;$AG48</formula>
    </cfRule>
  </conditionalFormatting>
  <conditionalFormatting sqref="B54:B60">
    <cfRule type="expression" dxfId="2502" priority="16">
      <formula>AND(B$9&gt;=14/24,B$9&lt;20/24)</formula>
    </cfRule>
    <cfRule type="expression" dxfId="2501" priority="15">
      <formula>B$9&gt;=20/24</formula>
    </cfRule>
    <cfRule type="expression" dxfId="2500" priority="17">
      <formula>AND(B$9&gt;=8/24,B$9&lt;14/24)</formula>
    </cfRule>
    <cfRule type="expression" dxfId="2499" priority="18">
      <formula>B$9&lt;8/24</formula>
    </cfRule>
  </conditionalFormatting>
  <conditionalFormatting sqref="B9:AF45">
    <cfRule type="expression" dxfId="2498" priority="31">
      <formula>AND(B$9&gt;=8/24,B$9&lt;14/24)</formula>
    </cfRule>
    <cfRule type="expression" dxfId="2497" priority="30">
      <formula>AND(B$9&gt;=14/24,B$9&lt;20/24)</formula>
    </cfRule>
    <cfRule type="expression" dxfId="2496" priority="29">
      <formula>B$9&gt;=20/24</formula>
    </cfRule>
    <cfRule type="expression" dxfId="2495" priority="32">
      <formula>B$9&lt;8/24</formula>
    </cfRule>
  </conditionalFormatting>
  <conditionalFormatting sqref="B11:AF47">
    <cfRule type="expression" dxfId="2494" priority="28">
      <formula>B11&gt;$AG11</formula>
    </cfRule>
  </conditionalFormatting>
  <conditionalFormatting sqref="B46:AF46">
    <cfRule type="expression" dxfId="2493" priority="2">
      <formula>B$9&gt;=20/24</formula>
    </cfRule>
    <cfRule type="expression" dxfId="2492" priority="3">
      <formula>AND(B$9&gt;=14/24,B$9&lt;20/24)</formula>
    </cfRule>
    <cfRule type="expression" dxfId="2491" priority="4">
      <formula>AND(B$9&gt;=8/24,B$9&lt;14/24)</formula>
    </cfRule>
  </conditionalFormatting>
  <conditionalFormatting sqref="B46:AF49">
    <cfRule type="expression" dxfId="2490" priority="27">
      <formula>B$9&lt;8/24</formula>
    </cfRule>
  </conditionalFormatting>
  <conditionalFormatting sqref="B47:AF49">
    <cfRule type="expression" dxfId="2489" priority="6">
      <formula>B$9&gt;=20/24</formula>
    </cfRule>
    <cfRule type="expression" dxfId="2488" priority="7">
      <formula>AND(B$9&gt;=14/24,B$9&lt;20/24)</formula>
    </cfRule>
    <cfRule type="expression" dxfId="2487" priority="8">
      <formula>AND(B$9&gt;=8/24,B$9&lt;14/24)</formula>
    </cfRule>
  </conditionalFormatting>
  <conditionalFormatting sqref="B51:AF53">
    <cfRule type="expression" dxfId="2486" priority="10">
      <formula>B$9&gt;=20/24</formula>
    </cfRule>
    <cfRule type="expression" dxfId="2485" priority="11">
      <formula>AND(B$9&gt;=14/24,B$9&lt;20/24)</formula>
    </cfRule>
    <cfRule type="expression" dxfId="2484" priority="12">
      <formula>AND(B$9&gt;=8/24,B$9&lt;14/24)</formula>
    </cfRule>
    <cfRule type="expression" dxfId="2483" priority="13">
      <formula>B$9&lt;8/24</formula>
    </cfRule>
  </conditionalFormatting>
  <conditionalFormatting sqref="B61:AF66">
    <cfRule type="expression" dxfId="2482" priority="19">
      <formula>B$9&gt;=20/24</formula>
    </cfRule>
    <cfRule type="expression" dxfId="2481" priority="20">
      <formula>AND(B$9&gt;=14/24,B$9&lt;20/24)</formula>
    </cfRule>
    <cfRule type="expression" dxfId="2480" priority="21">
      <formula>AND(B$9&gt;=8/24,B$9&lt;14/24)</formula>
    </cfRule>
    <cfRule type="expression" dxfId="2479" priority="22">
      <formula>B$9&lt;8/24</formula>
    </cfRule>
  </conditionalFormatting>
  <conditionalFormatting sqref="B69:AF71">
    <cfRule type="expression" dxfId="2478" priority="90">
      <formula>AND(B$9&gt;=8/24,B$9&lt;14/24)</formula>
    </cfRule>
    <cfRule type="expression" dxfId="2477" priority="87">
      <formula>B69&gt;$AG69</formula>
    </cfRule>
    <cfRule type="expression" dxfId="2476" priority="89">
      <formula>AND(B$9&gt;=14/24,B$9&lt;20/24)</formula>
    </cfRule>
    <cfRule type="expression" dxfId="2475" priority="88">
      <formula>B$9&gt;=20/24</formula>
    </cfRule>
    <cfRule type="expression" dxfId="2474" priority="91">
      <formula>B$9&lt;8/24</formula>
    </cfRule>
  </conditionalFormatting>
  <conditionalFormatting sqref="B73:AF91">
    <cfRule type="expression" dxfId="2473" priority="36">
      <formula>B$9&lt;8/24</formula>
    </cfRule>
    <cfRule type="expression" dxfId="2472" priority="33">
      <formula>B$9&gt;=20/24</formula>
    </cfRule>
    <cfRule type="expression" dxfId="2471" priority="34">
      <formula>AND(B$9&gt;=14/24,B$9&lt;20/24)</formula>
    </cfRule>
    <cfRule type="expression" dxfId="2470" priority="35">
      <formula>AND(B$9&gt;=8/24,B$9&lt;14/24)</formula>
    </cfRule>
  </conditionalFormatting>
  <conditionalFormatting sqref="B111:AF120">
    <cfRule type="expression" dxfId="2469" priority="46">
      <formula>B$9&gt;=20/24</formula>
    </cfRule>
    <cfRule type="expression" dxfId="2468" priority="47">
      <formula>AND(B$9&gt;=14/24,B$9&lt;20/24)</formula>
    </cfRule>
    <cfRule type="expression" dxfId="2467" priority="49">
      <formula>B$9&lt;8/24</formula>
    </cfRule>
    <cfRule type="expression" dxfId="2466" priority="48">
      <formula>AND(B$9&gt;=8/24,B$9&lt;14/24)</formula>
    </cfRule>
  </conditionalFormatting>
  <conditionalFormatting sqref="B227:AF227 D229:AF230 B229:B235 D231:H231 J231:AF231 D232:AF235 U248:AF248">
    <cfRule type="expression" dxfId="2465" priority="141">
      <formula>AND(B$9&gt;=14/24,B$9&lt;20/24)</formula>
    </cfRule>
    <cfRule type="expression" dxfId="2464" priority="140">
      <formula>B$9&gt;=20/24</formula>
    </cfRule>
    <cfRule type="expression" dxfId="2463" priority="142">
      <formula>AND(B$9&gt;=8/24,B$9&lt;14/24)</formula>
    </cfRule>
    <cfRule type="expression" dxfId="2462" priority="143">
      <formula>B$9&lt;8/24</formula>
    </cfRule>
  </conditionalFormatting>
  <conditionalFormatting sqref="B67:AG68">
    <cfRule type="expression" dxfId="2461" priority="9">
      <formula>B67&gt;$AG67</formula>
    </cfRule>
  </conditionalFormatting>
  <conditionalFormatting sqref="B72:AG72 B93:AF109">
    <cfRule type="expression" dxfId="2460" priority="78">
      <formula>B$9&lt;8/24</formula>
    </cfRule>
    <cfRule type="expression" dxfId="2459" priority="77">
      <formula>AND(B$9&gt;=8/24,B$9&lt;14/24)</formula>
    </cfRule>
    <cfRule type="expression" dxfId="2458" priority="76">
      <formula>AND(B$9&gt;=14/24,B$9&lt;20/24)</formula>
    </cfRule>
    <cfRule type="expression" dxfId="2457" priority="75">
      <formula>B$9&gt;=20/24</formula>
    </cfRule>
  </conditionalFormatting>
  <conditionalFormatting sqref="B72:AG72">
    <cfRule type="expression" dxfId="2456" priority="74">
      <formula>B72&gt;$AG72</formula>
    </cfRule>
  </conditionalFormatting>
  <conditionalFormatting sqref="C54">
    <cfRule type="expression" dxfId="2455" priority="70">
      <formula>C$9&gt;=20/24</formula>
    </cfRule>
    <cfRule type="expression" dxfId="2454" priority="71">
      <formula>AND(C$9&gt;=14/24,C$9&lt;20/24)</formula>
    </cfRule>
    <cfRule type="expression" dxfId="2453" priority="72">
      <formula>AND(C$9&gt;=8/24,C$9&lt;14/24)</formula>
    </cfRule>
    <cfRule type="expression" dxfId="2452" priority="73">
      <formula>C$9&lt;8/24</formula>
    </cfRule>
  </conditionalFormatting>
  <conditionalFormatting sqref="C54:C58">
    <cfRule type="expression" dxfId="2451" priority="65">
      <formula>C54&gt;$AG54</formula>
    </cfRule>
  </conditionalFormatting>
  <conditionalFormatting sqref="C55:E58">
    <cfRule type="expression" dxfId="2450" priority="95">
      <formula>C$9&lt;8/24</formula>
    </cfRule>
    <cfRule type="expression" dxfId="2449" priority="94">
      <formula>AND(C$9&gt;=8/24,C$9&lt;14/24)</formula>
    </cfRule>
    <cfRule type="expression" dxfId="2448" priority="92">
      <formula>C$9&gt;=20/24</formula>
    </cfRule>
    <cfRule type="expression" dxfId="2447" priority="93">
      <formula>AND(C$9&gt;=14/24,C$9&lt;20/24)</formula>
    </cfRule>
  </conditionalFormatting>
  <conditionalFormatting sqref="C59:G60 H60:R60">
    <cfRule type="expression" dxfId="2446" priority="26">
      <formula>C$9&lt;8/24</formula>
    </cfRule>
    <cfRule type="expression" dxfId="2445" priority="25">
      <formula>AND(C$9&gt;=8/24,C$9&lt;14/24)</formula>
    </cfRule>
    <cfRule type="expression" dxfId="2444" priority="24">
      <formula>AND(C$9&gt;=14/24,C$9&lt;20/24)</formula>
    </cfRule>
    <cfRule type="expression" dxfId="2443" priority="23">
      <formula>C$9&gt;=20/24</formula>
    </cfRule>
  </conditionalFormatting>
  <conditionalFormatting sqref="C48:AF49 C51:AF53">
    <cfRule type="expression" dxfId="2442" priority="5">
      <formula>C48&gt;$AG48</formula>
    </cfRule>
  </conditionalFormatting>
  <conditionalFormatting sqref="C50:AG50">
    <cfRule type="expression" dxfId="2441" priority="59">
      <formula>C50&gt;$AG50</formula>
    </cfRule>
  </conditionalFormatting>
  <conditionalFormatting sqref="D55:AF58">
    <cfRule type="expression" dxfId="2440" priority="37">
      <formula>D55&gt;$AG55</formula>
    </cfRule>
  </conditionalFormatting>
  <conditionalFormatting sqref="D54:AG54">
    <cfRule type="expression" dxfId="2439" priority="108">
      <formula>D54&gt;$AG54</formula>
    </cfRule>
    <cfRule type="expression" dxfId="2438" priority="109">
      <formula>D$9&gt;=20/24</formula>
    </cfRule>
    <cfRule type="expression" dxfId="2437" priority="110">
      <formula>AND(D$9&gt;=14/24,D$9&lt;20/24)</formula>
    </cfRule>
    <cfRule type="expression" dxfId="2436" priority="111">
      <formula>AND(D$9&gt;=8/24,D$9&lt;14/24)</formula>
    </cfRule>
    <cfRule type="expression" dxfId="2435" priority="112">
      <formula>D$9&lt;8/24</formula>
    </cfRule>
  </conditionalFormatting>
  <conditionalFormatting sqref="F55:R57">
    <cfRule type="expression" dxfId="2434" priority="122">
      <formula>AND(F$9&gt;=14/24,F$9&lt;20/24)</formula>
    </cfRule>
    <cfRule type="expression" dxfId="2433" priority="121">
      <formula>F$9&gt;=20/24</formula>
    </cfRule>
    <cfRule type="expression" dxfId="2432" priority="123">
      <formula>AND(F$9&gt;=8/24,F$9&lt;14/24)</formula>
    </cfRule>
    <cfRule type="expression" dxfId="2431" priority="124">
      <formula>F$9&lt;8/24</formula>
    </cfRule>
  </conditionalFormatting>
  <conditionalFormatting sqref="O3:P3">
    <cfRule type="iconSet" priority="144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430" priority="146">
      <formula>C$9&gt;=20/24</formula>
    </cfRule>
  </conditionalFormatting>
  <conditionalFormatting sqref="S8">
    <cfRule type="expression" dxfId="2429" priority="136">
      <formula>U$9&lt;8/24</formula>
    </cfRule>
    <cfRule type="expression" dxfId="2428" priority="135">
      <formula>AND(U$9&gt;=8/24,U$9&lt;14/24)</formula>
    </cfRule>
    <cfRule type="expression" dxfId="2427" priority="134">
      <formula>AND(U$9&gt;=14/24,U$9&lt;20/24)</formula>
    </cfRule>
    <cfRule type="expression" dxfId="2426" priority="133">
      <formula>U$9&gt;=20/24</formula>
    </cfRule>
  </conditionalFormatting>
  <conditionalFormatting sqref="S55:AF60">
    <cfRule type="expression" dxfId="2425" priority="45">
      <formula>S$9&lt;8/24</formula>
    </cfRule>
    <cfRule type="expression" dxfId="2424" priority="44">
      <formula>AND(S$9&gt;=8/24,S$9&lt;14/24)</formula>
    </cfRule>
    <cfRule type="expression" dxfId="2423" priority="43">
      <formula>AND(S$9&gt;=14/24,S$9&lt;20/24)</formula>
    </cfRule>
    <cfRule type="expression" dxfId="2422" priority="42">
      <formula>S$9&gt;=20/24</formula>
    </cfRule>
  </conditionalFormatting>
  <conditionalFormatting sqref="T248">
    <cfRule type="expression" dxfId="2421" priority="161">
      <formula>AX$9&lt;8/24</formula>
    </cfRule>
    <cfRule type="expression" dxfId="2420" priority="158">
      <formula>AX$9&gt;=20/24</formula>
    </cfRule>
    <cfRule type="expression" dxfId="2419" priority="159">
      <formula>AND(AX$9&gt;=14/24,AX$9&lt;20/24)</formula>
    </cfRule>
    <cfRule type="expression" dxfId="2418" priority="160">
      <formula>AND(AX$9&gt;=8/24,AX$9&lt;14/24)</formula>
    </cfRule>
  </conditionalFormatting>
  <conditionalFormatting sqref="V3 AB3">
    <cfRule type="iconSet" priority="145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417" priority="132">
      <formula>AD$9&lt;8/24</formula>
    </cfRule>
    <cfRule type="expression" dxfId="2416" priority="130">
      <formula>AND(AD$9&gt;=14/24,AD$9&lt;20/24)</formula>
    </cfRule>
    <cfRule type="expression" dxfId="2415" priority="129">
      <formula>AD$9&gt;=20/24</formula>
    </cfRule>
    <cfRule type="expression" dxfId="2414" priority="131">
      <formula>AND(AD$9&gt;=8/24,AD$9&lt;14/24)</formula>
    </cfRule>
  </conditionalFormatting>
  <conditionalFormatting sqref="AG89">
    <cfRule type="expression" dxfId="2413" priority="120">
      <formula>AG$9&lt;8/24</formula>
    </cfRule>
    <cfRule type="expression" dxfId="2412" priority="119">
      <formula>AND(AG$9&gt;=8/24,AG$9&lt;14/24)</formula>
    </cfRule>
    <cfRule type="expression" dxfId="2411" priority="118">
      <formula>AND(AG$9&gt;=14/24,AG$9&lt;20/24)</formula>
    </cfRule>
    <cfRule type="expression" dxfId="2410" priority="117">
      <formula>AG$9&gt;=20/24</formula>
    </cfRule>
  </conditionalFormatting>
  <conditionalFormatting sqref="AG248">
    <cfRule type="expression" dxfId="2409" priority="150">
      <formula>B$9&gt;=20/24</formula>
    </cfRule>
    <cfRule type="expression" dxfId="2408" priority="151">
      <formula>AND(B$9&gt;=14/24,B$9&lt;20/24)</formula>
    </cfRule>
    <cfRule type="expression" dxfId="2407" priority="152">
      <formula>AND(B$9&gt;=8/24,B$9&lt;14/24)</formula>
    </cfRule>
    <cfRule type="expression" dxfId="2406" priority="153">
      <formula>B$9&lt;8/24</formula>
    </cfRule>
  </conditionalFormatting>
  <conditionalFormatting sqref="AH248:AX248">
    <cfRule type="expression" dxfId="2405" priority="154">
      <formula>AG$9&gt;=20/24</formula>
    </cfRule>
    <cfRule type="expression" dxfId="2404" priority="155">
      <formula>AND(AG$9&gt;=14/24,AG$9&lt;20/24)</formula>
    </cfRule>
    <cfRule type="expression" dxfId="2403" priority="156">
      <formula>AND(AG$9&gt;=8/24,AG$9&lt;14/24)</formula>
    </cfRule>
    <cfRule type="expression" dxfId="2402" priority="157">
      <formula>AG$9&lt;8/24</formula>
    </cfRule>
  </conditionalFormatting>
  <conditionalFormatting sqref="AL4:AL6">
    <cfRule type="iconSet" priority="139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99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14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98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15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38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37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97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62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401" priority="163">
      <formula>AJ$9&gt;=20/24</formula>
    </cfRule>
    <cfRule type="expression" dxfId="2400" priority="164">
      <formula>AND(AJ$9&gt;=14/24,AJ$9&lt;20/24)</formula>
    </cfRule>
    <cfRule type="expression" dxfId="2399" priority="165">
      <formula>AND(AJ$9&gt;=8/24,AJ$9&lt;14/24)</formula>
    </cfRule>
    <cfRule type="expression" dxfId="2398" priority="166">
      <formula>AJ$9&lt;8/24</formula>
    </cfRule>
  </conditionalFormatting>
  <conditionalFormatting sqref="AL80:AN80 AL86:AN86">
    <cfRule type="expression" dxfId="2397" priority="107">
      <formula>AL$9&lt;8/24</formula>
    </cfRule>
    <cfRule type="expression" dxfId="2396" priority="104">
      <formula>AL$9&gt;=20/24</formula>
    </cfRule>
    <cfRule type="expression" dxfId="2395" priority="105">
      <formula>AND(AL$9&gt;=14/24,AL$9&lt;20/24)</formula>
    </cfRule>
    <cfRule type="expression" dxfId="2394" priority="106">
      <formula>AND(AL$9&gt;=8/24,AL$9&lt;14/24)</formula>
    </cfRule>
  </conditionalFormatting>
  <conditionalFormatting sqref="AN81:AN84">
    <cfRule type="expression" dxfId="2393" priority="100">
      <formula>AN$9&gt;=20/24</formula>
    </cfRule>
    <cfRule type="expression" dxfId="2392" priority="101">
      <formula>AND(AN$9&gt;=14/24,AN$9&lt;20/24)</formula>
    </cfRule>
    <cfRule type="expression" dxfId="2391" priority="102">
      <formula>AND(AN$9&gt;=8/24,AN$9&lt;14/24)</formula>
    </cfRule>
    <cfRule type="expression" dxfId="2390" priority="103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D79C9-032F-4669-AE26-759A1AE028C8}">
  <sheetPr codeName="Sheet17"/>
  <dimension ref="A1:CJ281"/>
  <sheetViews>
    <sheetView workbookViewId="0">
      <pane xSplit="1" ySplit="10" topLeftCell="Q7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I133" sqref="AI13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4" width="6.28515625" style="1" bestFit="1" customWidth="1"/>
    <col min="15" max="15" width="6.57031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2080/05/15</v>
      </c>
      <c r="C4" s="196"/>
      <c r="D4" s="196"/>
      <c r="E4" s="197" t="str">
        <f ca="1">"2080/"&amp;"05/"&amp;INT(MID(CELL("filename",G6),FIND("]",CELL("filename",G6))+1,200))</f>
        <v>2080/05/15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9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2055MW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Load=1927</v>
      </c>
      <c r="B7" s="35">
        <f t="shared" ref="B7:AF7" si="1">B91</f>
        <v>1973.44</v>
      </c>
      <c r="C7" s="35">
        <f t="shared" si="1"/>
        <v>1955.44</v>
      </c>
      <c r="D7" s="35">
        <f t="shared" si="1"/>
        <v>1935.44</v>
      </c>
      <c r="E7" s="35">
        <f t="shared" si="1"/>
        <v>1927.3400000000001</v>
      </c>
      <c r="F7" s="35">
        <f t="shared" si="1"/>
        <v>1939.44</v>
      </c>
      <c r="G7" s="35">
        <f t="shared" si="1"/>
        <v>1930.04</v>
      </c>
      <c r="H7" s="35">
        <f t="shared" si="1"/>
        <v>1930.04</v>
      </c>
      <c r="I7" s="35">
        <f t="shared" si="1"/>
        <v>1930.04</v>
      </c>
      <c r="J7" s="35">
        <f t="shared" si="1"/>
        <v>1936.04</v>
      </c>
      <c r="K7" s="35">
        <f t="shared" si="1"/>
        <v>1984.84</v>
      </c>
      <c r="L7" s="35">
        <f t="shared" si="1"/>
        <v>2012.84</v>
      </c>
      <c r="M7" s="35">
        <f t="shared" si="1"/>
        <v>2015.44</v>
      </c>
      <c r="N7" s="35">
        <f>N91</f>
        <v>2055.44</v>
      </c>
      <c r="O7" s="35">
        <f t="shared" si="1"/>
        <v>2065.64</v>
      </c>
      <c r="P7" s="35">
        <f t="shared" si="1"/>
        <v>2063.2400000000002</v>
      </c>
      <c r="Q7" s="35">
        <f t="shared" si="1"/>
        <v>2063.6400000000003</v>
      </c>
      <c r="R7" s="35">
        <f t="shared" si="1"/>
        <v>2062.84</v>
      </c>
      <c r="S7" s="35">
        <f t="shared" si="1"/>
        <v>2059.04</v>
      </c>
      <c r="T7" s="35">
        <f t="shared" si="1"/>
        <v>2066.14</v>
      </c>
      <c r="U7" s="35">
        <f t="shared" si="1"/>
        <v>2072.84</v>
      </c>
      <c r="V7" s="35">
        <f t="shared" si="1"/>
        <v>2062.94</v>
      </c>
      <c r="W7" s="35">
        <f t="shared" si="1"/>
        <v>1996.8400000000001</v>
      </c>
      <c r="X7" s="35">
        <f t="shared" si="1"/>
        <v>1995.54</v>
      </c>
      <c r="Y7" s="35">
        <f t="shared" si="1"/>
        <v>2053.54</v>
      </c>
      <c r="Z7" s="35">
        <f t="shared" si="1"/>
        <v>2069.7399999999998</v>
      </c>
      <c r="AA7" s="35">
        <f t="shared" si="1"/>
        <v>2124.54</v>
      </c>
      <c r="AB7" s="35">
        <f t="shared" si="1"/>
        <v>2154.44</v>
      </c>
      <c r="AC7" s="35">
        <f t="shared" si="1"/>
        <v>2098.54</v>
      </c>
      <c r="AD7" s="35">
        <f t="shared" si="1"/>
        <v>2063.7400000000002</v>
      </c>
      <c r="AE7" s="35">
        <f t="shared" si="1"/>
        <v>2028.0400000000002</v>
      </c>
      <c r="AF7" s="35">
        <f t="shared" si="1"/>
        <v>1989.2400000000002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</v>
      </c>
      <c r="C11" s="45">
        <v>86</v>
      </c>
      <c r="D11" s="45">
        <v>86</v>
      </c>
      <c r="E11" s="45">
        <v>87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89.8</v>
      </c>
      <c r="N11" s="45">
        <v>89.8</v>
      </c>
      <c r="O11" s="45">
        <v>89.8</v>
      </c>
      <c r="P11" s="45">
        <v>89.8</v>
      </c>
      <c r="Q11" s="45">
        <v>89.8</v>
      </c>
      <c r="R11" s="45">
        <v>89.8</v>
      </c>
      <c r="S11" s="45">
        <v>89.8</v>
      </c>
      <c r="T11" s="45">
        <v>89.8</v>
      </c>
      <c r="U11" s="45">
        <v>89.8</v>
      </c>
      <c r="V11" s="45">
        <v>89.7</v>
      </c>
      <c r="W11" s="45">
        <v>85.7</v>
      </c>
      <c r="X11" s="45">
        <v>85.7</v>
      </c>
      <c r="Y11" s="45">
        <v>85.7</v>
      </c>
      <c r="Z11" s="45">
        <v>85.7</v>
      </c>
      <c r="AA11" s="45">
        <v>85.7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85.7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8</v>
      </c>
      <c r="L12" s="45">
        <v>8</v>
      </c>
      <c r="M12" s="45">
        <v>8</v>
      </c>
      <c r="N12" s="45">
        <v>8</v>
      </c>
      <c r="O12" s="45">
        <v>8</v>
      </c>
      <c r="P12" s="45">
        <v>8</v>
      </c>
      <c r="Q12" s="45">
        <v>8</v>
      </c>
      <c r="R12" s="45">
        <v>8</v>
      </c>
      <c r="S12" s="45">
        <v>8</v>
      </c>
      <c r="T12" s="45">
        <v>8</v>
      </c>
      <c r="U12" s="45">
        <v>8</v>
      </c>
      <c r="V12" s="45">
        <v>8</v>
      </c>
      <c r="W12" s="45">
        <v>8</v>
      </c>
      <c r="X12" s="45">
        <v>8</v>
      </c>
      <c r="Y12" s="45">
        <v>8</v>
      </c>
      <c r="Z12" s="45">
        <v>8</v>
      </c>
      <c r="AA12" s="45">
        <v>13</v>
      </c>
      <c r="AB12" s="45">
        <v>13</v>
      </c>
      <c r="AC12" s="45">
        <v>8</v>
      </c>
      <c r="AD12" s="45">
        <v>8</v>
      </c>
      <c r="AE12" s="45">
        <v>8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53</v>
      </c>
      <c r="C13" s="45">
        <v>53</v>
      </c>
      <c r="D13" s="45">
        <v>53</v>
      </c>
      <c r="E13" s="45">
        <v>53.6</v>
      </c>
      <c r="F13" s="45">
        <v>53.6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54.2</v>
      </c>
      <c r="N13" s="45">
        <v>54.2</v>
      </c>
      <c r="O13" s="45">
        <v>54.2</v>
      </c>
      <c r="P13" s="45">
        <v>54.2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52.9</v>
      </c>
      <c r="X13" s="45">
        <v>52.9</v>
      </c>
      <c r="Y13" s="45">
        <v>52.9</v>
      </c>
      <c r="Z13" s="45">
        <v>52.9</v>
      </c>
      <c r="AA13" s="45">
        <v>52.9</v>
      </c>
      <c r="AB13" s="45">
        <v>52.9</v>
      </c>
      <c r="AC13" s="45">
        <v>52.9</v>
      </c>
      <c r="AD13" s="45">
        <v>52.9</v>
      </c>
      <c r="AE13" s="45">
        <v>52.9</v>
      </c>
      <c r="AF13" s="45">
        <v>52.9</v>
      </c>
      <c r="AG13" s="46">
        <v>52.4</v>
      </c>
      <c r="AH13" s="47">
        <f t="shared" si="2"/>
        <v>54.2</v>
      </c>
      <c r="AI13" s="48">
        <f t="shared" si="3"/>
        <v>52.9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50.5</v>
      </c>
      <c r="X14" s="58">
        <v>50.5</v>
      </c>
      <c r="Y14" s="58">
        <v>50.5</v>
      </c>
      <c r="Z14" s="58">
        <v>50.5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50.6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37</v>
      </c>
      <c r="N15" s="45">
        <v>37</v>
      </c>
      <c r="O15" s="45">
        <v>37</v>
      </c>
      <c r="P15" s="45">
        <v>37</v>
      </c>
      <c r="Q15" s="45">
        <v>37</v>
      </c>
      <c r="R15" s="45">
        <v>37</v>
      </c>
      <c r="S15" s="45">
        <v>37</v>
      </c>
      <c r="T15" s="45">
        <v>37</v>
      </c>
      <c r="U15" s="45">
        <v>37</v>
      </c>
      <c r="V15" s="45">
        <v>46</v>
      </c>
      <c r="W15" s="45">
        <v>41.2</v>
      </c>
      <c r="X15" s="45">
        <v>41.2</v>
      </c>
      <c r="Y15" s="45">
        <v>41.2</v>
      </c>
      <c r="Z15" s="45">
        <v>41.2</v>
      </c>
      <c r="AA15" s="45">
        <v>46.9</v>
      </c>
      <c r="AB15" s="45">
        <v>46.9</v>
      </c>
      <c r="AC15" s="45">
        <v>46.9</v>
      </c>
      <c r="AD15" s="45">
        <v>46.9</v>
      </c>
      <c r="AE15" s="45">
        <v>46.9</v>
      </c>
      <c r="AF15" s="45">
        <v>46.9</v>
      </c>
      <c r="AG15" s="49">
        <v>45</v>
      </c>
      <c r="AH15" s="47">
        <f t="shared" si="2"/>
        <v>46.9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>
        <v>28.4</v>
      </c>
      <c r="G17" s="45">
        <v>28.4</v>
      </c>
      <c r="H17" s="45">
        <v>28.4</v>
      </c>
      <c r="I17" s="45">
        <v>28.4</v>
      </c>
      <c r="J17" s="45">
        <v>28.4</v>
      </c>
      <c r="K17" s="45">
        <v>28.4</v>
      </c>
      <c r="L17" s="45">
        <v>28.4</v>
      </c>
      <c r="M17" s="45">
        <v>28.4</v>
      </c>
      <c r="N17" s="45">
        <v>28.4</v>
      </c>
      <c r="O17" s="45">
        <v>28.4</v>
      </c>
      <c r="P17" s="45">
        <v>28.4</v>
      </c>
      <c r="Q17" s="45">
        <v>28.4</v>
      </c>
      <c r="R17" s="45">
        <v>28.4</v>
      </c>
      <c r="S17" s="45">
        <v>28.4</v>
      </c>
      <c r="T17" s="45">
        <v>28.4</v>
      </c>
      <c r="U17" s="45">
        <v>28.4</v>
      </c>
      <c r="V17" s="45">
        <v>28.4</v>
      </c>
      <c r="W17" s="45">
        <v>28.4</v>
      </c>
      <c r="X17" s="45">
        <v>28.4</v>
      </c>
      <c r="Y17" s="45">
        <v>28.4</v>
      </c>
      <c r="Z17" s="45">
        <v>28.4</v>
      </c>
      <c r="AA17" s="45">
        <v>28.4</v>
      </c>
      <c r="AB17" s="45">
        <v>28.4</v>
      </c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28.4</v>
      </c>
      <c r="AI17" s="48">
        <f t="shared" si="3"/>
        <v>28.4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35</v>
      </c>
      <c r="C18" s="45">
        <v>35</v>
      </c>
      <c r="D18" s="45">
        <v>35</v>
      </c>
      <c r="E18" s="45">
        <v>35</v>
      </c>
      <c r="F18" s="45">
        <v>35</v>
      </c>
      <c r="G18" s="45">
        <v>35</v>
      </c>
      <c r="H18" s="45">
        <v>35</v>
      </c>
      <c r="I18" s="45">
        <v>35</v>
      </c>
      <c r="J18" s="45">
        <v>35</v>
      </c>
      <c r="K18" s="45">
        <v>35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35</v>
      </c>
      <c r="R18" s="45">
        <v>35</v>
      </c>
      <c r="S18" s="45">
        <v>35</v>
      </c>
      <c r="T18" s="45">
        <v>35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35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32</v>
      </c>
      <c r="C19" s="45">
        <v>25</v>
      </c>
      <c r="D19" s="45">
        <v>25</v>
      </c>
      <c r="E19" s="45">
        <v>25</v>
      </c>
      <c r="F19" s="45">
        <v>25</v>
      </c>
      <c r="G19" s="45">
        <v>25</v>
      </c>
      <c r="H19" s="45">
        <v>25</v>
      </c>
      <c r="I19" s="45">
        <v>25</v>
      </c>
      <c r="J19" s="45">
        <v>25</v>
      </c>
      <c r="K19" s="45">
        <v>25</v>
      </c>
      <c r="L19" s="45">
        <v>25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25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5</v>
      </c>
      <c r="N20" s="45">
        <v>5</v>
      </c>
      <c r="O20" s="45">
        <v>5</v>
      </c>
      <c r="P20" s="45">
        <v>5</v>
      </c>
      <c r="Q20" s="45">
        <v>5</v>
      </c>
      <c r="R20" s="45">
        <v>5</v>
      </c>
      <c r="S20" s="45">
        <v>5</v>
      </c>
      <c r="T20" s="45">
        <v>5</v>
      </c>
      <c r="U20" s="45">
        <v>5</v>
      </c>
      <c r="V20" s="45">
        <v>5</v>
      </c>
      <c r="W20" s="45">
        <v>5</v>
      </c>
      <c r="X20" s="45">
        <v>5</v>
      </c>
      <c r="Y20" s="45">
        <v>5</v>
      </c>
      <c r="Z20" s="45">
        <v>5</v>
      </c>
      <c r="AA20" s="45">
        <v>29.6</v>
      </c>
      <c r="AB20" s="45">
        <v>29.6</v>
      </c>
      <c r="AC20" s="45">
        <v>15</v>
      </c>
      <c r="AD20" s="45">
        <v>15</v>
      </c>
      <c r="AE20" s="45">
        <v>15</v>
      </c>
      <c r="AF20" s="45">
        <v>15</v>
      </c>
      <c r="AG20" s="51">
        <v>30</v>
      </c>
      <c r="AH20" s="47">
        <f t="shared" si="2"/>
        <v>29.6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24.8</v>
      </c>
      <c r="Q21" s="45">
        <v>24.8</v>
      </c>
      <c r="R21" s="45">
        <v>24.8</v>
      </c>
      <c r="S21" s="45">
        <v>24.8</v>
      </c>
      <c r="T21" s="45">
        <v>24.8</v>
      </c>
      <c r="U21" s="45">
        <v>24.8</v>
      </c>
      <c r="V21" s="45">
        <v>24.8</v>
      </c>
      <c r="W21" s="45">
        <v>24.8</v>
      </c>
      <c r="X21" s="45">
        <v>24.8</v>
      </c>
      <c r="Y21" s="45">
        <v>24.8</v>
      </c>
      <c r="Z21" s="45">
        <v>24.8</v>
      </c>
      <c r="AA21" s="45">
        <v>26.1</v>
      </c>
      <c r="AB21" s="45">
        <v>26.1</v>
      </c>
      <c r="AC21" s="45">
        <v>25.8</v>
      </c>
      <c r="AD21" s="45">
        <v>25.8</v>
      </c>
      <c r="AE21" s="45">
        <v>0</v>
      </c>
      <c r="AF21" s="45">
        <v>20</v>
      </c>
      <c r="AG21" s="49">
        <v>24.2</v>
      </c>
      <c r="AH21" s="47">
        <f t="shared" si="2"/>
        <v>26.1</v>
      </c>
      <c r="AI21" s="48">
        <f t="shared" si="3"/>
        <v>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28.4</v>
      </c>
      <c r="C22" s="45">
        <v>28.4</v>
      </c>
      <c r="D22" s="45">
        <v>28.4</v>
      </c>
      <c r="E22" s="45">
        <v>28.4</v>
      </c>
      <c r="F22" s="45">
        <v>28.4</v>
      </c>
      <c r="G22" s="45">
        <v>28.4</v>
      </c>
      <c r="H22" s="45">
        <v>28.4</v>
      </c>
      <c r="I22" s="45">
        <v>28.4</v>
      </c>
      <c r="J22" s="45">
        <v>28.4</v>
      </c>
      <c r="K22" s="45">
        <v>28.4</v>
      </c>
      <c r="L22" s="45">
        <v>28.4</v>
      </c>
      <c r="M22" s="45">
        <v>28.4</v>
      </c>
      <c r="N22" s="45">
        <v>28.4</v>
      </c>
      <c r="O22" s="45">
        <v>28.4</v>
      </c>
      <c r="P22" s="45">
        <v>28.4</v>
      </c>
      <c r="Q22" s="45">
        <v>28.4</v>
      </c>
      <c r="R22" s="45">
        <v>28.4</v>
      </c>
      <c r="S22" s="45">
        <v>28.4</v>
      </c>
      <c r="T22" s="45">
        <v>28.4</v>
      </c>
      <c r="U22" s="45">
        <v>28.4</v>
      </c>
      <c r="V22" s="45">
        <v>28.4</v>
      </c>
      <c r="W22" s="45">
        <v>28.4</v>
      </c>
      <c r="X22" s="45">
        <v>28.4</v>
      </c>
      <c r="Y22" s="45">
        <v>28.4</v>
      </c>
      <c r="Z22" s="45">
        <v>28.4</v>
      </c>
      <c r="AA22" s="45">
        <v>28.4</v>
      </c>
      <c r="AB22" s="45">
        <v>28.4</v>
      </c>
      <c r="AC22" s="45">
        <v>28.4</v>
      </c>
      <c r="AD22" s="45">
        <v>28.4</v>
      </c>
      <c r="AE22" s="45">
        <v>23.5</v>
      </c>
      <c r="AF22" s="45">
        <v>23.5</v>
      </c>
      <c r="AG22" s="49">
        <v>28</v>
      </c>
      <c r="AH22" s="47">
        <f t="shared" si="2"/>
        <v>28.4</v>
      </c>
      <c r="AI22" s="48">
        <f t="shared" si="3"/>
        <v>23.5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3</v>
      </c>
      <c r="K23" s="45">
        <v>3</v>
      </c>
      <c r="L23" s="45">
        <v>3</v>
      </c>
      <c r="M23" s="45">
        <v>3</v>
      </c>
      <c r="N23" s="45">
        <v>3</v>
      </c>
      <c r="O23" s="45">
        <v>3</v>
      </c>
      <c r="P23" s="45">
        <v>3</v>
      </c>
      <c r="Q23" s="45">
        <v>3</v>
      </c>
      <c r="R23" s="45">
        <v>3</v>
      </c>
      <c r="S23" s="45">
        <v>3</v>
      </c>
      <c r="T23" s="45">
        <v>3</v>
      </c>
      <c r="U23" s="45">
        <v>3</v>
      </c>
      <c r="V23" s="45">
        <v>3</v>
      </c>
      <c r="W23" s="45">
        <v>3</v>
      </c>
      <c r="X23" s="45">
        <v>3</v>
      </c>
      <c r="Y23" s="45">
        <v>3</v>
      </c>
      <c r="Z23" s="45">
        <v>3</v>
      </c>
      <c r="AA23" s="45">
        <v>27</v>
      </c>
      <c r="AB23" s="45">
        <v>27</v>
      </c>
      <c r="AC23" s="45">
        <v>13</v>
      </c>
      <c r="AD23" s="45">
        <v>5</v>
      </c>
      <c r="AE23" s="45">
        <v>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26.1</v>
      </c>
      <c r="C24" s="45">
        <v>26.1</v>
      </c>
      <c r="D24" s="45">
        <v>26.1</v>
      </c>
      <c r="E24" s="45">
        <v>26.1</v>
      </c>
      <c r="F24" s="45">
        <v>26.1</v>
      </c>
      <c r="G24" s="45">
        <v>26.1</v>
      </c>
      <c r="H24" s="45">
        <v>26.1</v>
      </c>
      <c r="I24" s="45">
        <v>26.1</v>
      </c>
      <c r="J24" s="45">
        <v>26.1</v>
      </c>
      <c r="K24" s="45">
        <v>26.1</v>
      </c>
      <c r="L24" s="45">
        <v>26.1</v>
      </c>
      <c r="M24" s="45">
        <v>26.1</v>
      </c>
      <c r="N24" s="45">
        <v>26.1</v>
      </c>
      <c r="O24" s="45">
        <v>26.1</v>
      </c>
      <c r="P24" s="45">
        <v>26.1</v>
      </c>
      <c r="Q24" s="45">
        <v>26.1</v>
      </c>
      <c r="R24" s="45">
        <v>26.1</v>
      </c>
      <c r="S24" s="45">
        <v>26.1</v>
      </c>
      <c r="T24" s="45">
        <v>26.1</v>
      </c>
      <c r="U24" s="45">
        <v>26.1</v>
      </c>
      <c r="V24" s="45">
        <v>26.1</v>
      </c>
      <c r="W24" s="45">
        <v>26.1</v>
      </c>
      <c r="X24" s="45">
        <v>26.1</v>
      </c>
      <c r="Y24" s="45">
        <v>26.1</v>
      </c>
      <c r="Z24" s="45">
        <v>26.1</v>
      </c>
      <c r="AA24" s="45">
        <v>24.1</v>
      </c>
      <c r="AB24" s="45">
        <v>24.1</v>
      </c>
      <c r="AC24" s="45">
        <v>24.1</v>
      </c>
      <c r="AD24" s="45">
        <v>24.1</v>
      </c>
      <c r="AE24" s="45">
        <v>24.1</v>
      </c>
      <c r="AF24" s="45">
        <v>24.1</v>
      </c>
      <c r="AG24" s="49">
        <v>25</v>
      </c>
      <c r="AH24" s="47">
        <f t="shared" si="2"/>
        <v>26.1</v>
      </c>
      <c r="AI24" s="48">
        <f t="shared" si="3"/>
        <v>24.1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20</v>
      </c>
      <c r="C26" s="45">
        <v>20</v>
      </c>
      <c r="D26" s="45">
        <v>20</v>
      </c>
      <c r="E26" s="45">
        <v>20</v>
      </c>
      <c r="F26" s="45">
        <v>20</v>
      </c>
      <c r="G26" s="45">
        <v>20</v>
      </c>
      <c r="H26" s="45">
        <v>20</v>
      </c>
      <c r="I26" s="45">
        <v>20</v>
      </c>
      <c r="J26" s="45">
        <v>20</v>
      </c>
      <c r="K26" s="45">
        <v>20</v>
      </c>
      <c r="L26" s="45">
        <v>20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3</v>
      </c>
      <c r="K27" s="45">
        <v>3</v>
      </c>
      <c r="L27" s="45">
        <v>3</v>
      </c>
      <c r="M27" s="45">
        <v>3</v>
      </c>
      <c r="N27" s="45">
        <v>3</v>
      </c>
      <c r="O27" s="45">
        <v>3</v>
      </c>
      <c r="P27" s="45">
        <v>3</v>
      </c>
      <c r="Q27" s="45">
        <v>3</v>
      </c>
      <c r="R27" s="45">
        <v>3</v>
      </c>
      <c r="S27" s="45">
        <v>3</v>
      </c>
      <c r="T27" s="45">
        <v>3</v>
      </c>
      <c r="U27" s="45">
        <v>3</v>
      </c>
      <c r="V27" s="45">
        <v>3</v>
      </c>
      <c r="W27" s="45">
        <v>3</v>
      </c>
      <c r="X27" s="45">
        <v>3</v>
      </c>
      <c r="Y27" s="45">
        <v>3</v>
      </c>
      <c r="Z27" s="45">
        <v>3</v>
      </c>
      <c r="AA27" s="45">
        <v>25</v>
      </c>
      <c r="AB27" s="45">
        <v>25</v>
      </c>
      <c r="AC27" s="45">
        <v>13</v>
      </c>
      <c r="AD27" s="45">
        <v>5</v>
      </c>
      <c r="AE27" s="45">
        <v>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7</v>
      </c>
      <c r="V33" s="45">
        <v>7</v>
      </c>
      <c r="W33" s="45">
        <v>4</v>
      </c>
      <c r="X33" s="45">
        <v>4</v>
      </c>
      <c r="Y33" s="45">
        <v>4</v>
      </c>
      <c r="Z33" s="45">
        <v>4</v>
      </c>
      <c r="AA33" s="45">
        <v>7</v>
      </c>
      <c r="AB33" s="45">
        <v>7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7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6</v>
      </c>
      <c r="V34" s="45">
        <v>6</v>
      </c>
      <c r="W34" s="45">
        <v>4</v>
      </c>
      <c r="X34" s="45">
        <v>4</v>
      </c>
      <c r="Y34" s="45">
        <v>4</v>
      </c>
      <c r="Z34" s="45">
        <v>4</v>
      </c>
      <c r="AA34" s="45">
        <v>6</v>
      </c>
      <c r="AB34" s="45">
        <v>6</v>
      </c>
      <c r="AC34" s="45">
        <v>4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6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14</v>
      </c>
      <c r="C35" s="45">
        <v>14</v>
      </c>
      <c r="D35" s="45">
        <v>14</v>
      </c>
      <c r="E35" s="45">
        <v>14</v>
      </c>
      <c r="F35" s="45">
        <v>14</v>
      </c>
      <c r="G35" s="45">
        <v>14</v>
      </c>
      <c r="H35" s="45">
        <v>14</v>
      </c>
      <c r="I35" s="45">
        <v>14</v>
      </c>
      <c r="J35" s="45">
        <v>14</v>
      </c>
      <c r="K35" s="45">
        <v>14</v>
      </c>
      <c r="L35" s="45">
        <v>14</v>
      </c>
      <c r="M35" s="45">
        <v>14</v>
      </c>
      <c r="N35" s="45">
        <v>14</v>
      </c>
      <c r="O35" s="45">
        <v>14</v>
      </c>
      <c r="P35" s="45">
        <v>14</v>
      </c>
      <c r="Q35" s="45">
        <v>14</v>
      </c>
      <c r="R35" s="45">
        <v>14</v>
      </c>
      <c r="S35" s="45">
        <v>14</v>
      </c>
      <c r="T35" s="45">
        <v>14</v>
      </c>
      <c r="U35" s="45">
        <v>14</v>
      </c>
      <c r="V35" s="45">
        <v>14</v>
      </c>
      <c r="W35" s="45">
        <v>14</v>
      </c>
      <c r="X35" s="45">
        <v>14</v>
      </c>
      <c r="Y35" s="45">
        <v>14</v>
      </c>
      <c r="Z35" s="45">
        <v>14</v>
      </c>
      <c r="AA35" s="45">
        <v>14</v>
      </c>
      <c r="AB35" s="45">
        <v>14</v>
      </c>
      <c r="AC35" s="45">
        <v>14</v>
      </c>
      <c r="AD35" s="45">
        <v>14</v>
      </c>
      <c r="AE35" s="45">
        <v>14</v>
      </c>
      <c r="AF35" s="45">
        <v>14</v>
      </c>
      <c r="AG35" s="49">
        <v>14.9</v>
      </c>
      <c r="AH35" s="47">
        <f t="shared" si="2"/>
        <v>14</v>
      </c>
      <c r="AI35" s="48">
        <f t="shared" si="3"/>
        <v>14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2</v>
      </c>
      <c r="L39" s="45">
        <v>2</v>
      </c>
      <c r="M39" s="45">
        <v>2</v>
      </c>
      <c r="N39" s="45">
        <v>2</v>
      </c>
      <c r="O39" s="45">
        <v>2</v>
      </c>
      <c r="P39" s="45">
        <v>2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2</v>
      </c>
      <c r="X39" s="45">
        <v>2</v>
      </c>
      <c r="Y39" s="45">
        <v>2</v>
      </c>
      <c r="Z39" s="45">
        <v>2</v>
      </c>
      <c r="AA39" s="45">
        <v>12</v>
      </c>
      <c r="AB39" s="45">
        <v>12</v>
      </c>
      <c r="AC39" s="45">
        <v>6</v>
      </c>
      <c r="AD39" s="45">
        <v>3</v>
      </c>
      <c r="AE39" s="45">
        <v>3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4</v>
      </c>
      <c r="C41" s="45">
        <v>4</v>
      </c>
      <c r="D41" s="45">
        <v>0</v>
      </c>
      <c r="E41" s="45">
        <v>0</v>
      </c>
      <c r="F41" s="45">
        <v>6</v>
      </c>
      <c r="G41" s="45">
        <v>6</v>
      </c>
      <c r="H41" s="45">
        <v>6</v>
      </c>
      <c r="I41" s="45">
        <v>6</v>
      </c>
      <c r="J41" s="45">
        <v>6</v>
      </c>
      <c r="K41" s="45">
        <v>6</v>
      </c>
      <c r="L41" s="45">
        <v>6</v>
      </c>
      <c r="M41" s="45">
        <v>7</v>
      </c>
      <c r="N41" s="45">
        <v>7</v>
      </c>
      <c r="O41" s="45">
        <v>7</v>
      </c>
      <c r="P41" s="45">
        <v>7</v>
      </c>
      <c r="Q41" s="45">
        <v>7</v>
      </c>
      <c r="R41" s="45">
        <v>7</v>
      </c>
      <c r="S41" s="45">
        <v>7</v>
      </c>
      <c r="T41" s="45">
        <v>7</v>
      </c>
      <c r="U41" s="45">
        <v>7</v>
      </c>
      <c r="V41" s="45">
        <v>7</v>
      </c>
      <c r="W41" s="45">
        <v>7</v>
      </c>
      <c r="X41" s="45">
        <v>7</v>
      </c>
      <c r="Y41" s="45">
        <v>7</v>
      </c>
      <c r="Z41" s="45">
        <v>7</v>
      </c>
      <c r="AA41" s="45">
        <v>7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7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10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420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110.30000000000001</v>
      </c>
      <c r="C49" s="56">
        <v>110.30000000000001</v>
      </c>
      <c r="D49" s="56">
        <v>110.30000000000001</v>
      </c>
      <c r="E49" s="56">
        <v>110.30000000000001</v>
      </c>
      <c r="F49" s="56">
        <v>110.30000000000001</v>
      </c>
      <c r="G49" s="56">
        <v>110.30000000000001</v>
      </c>
      <c r="H49" s="56">
        <v>110.30000000000001</v>
      </c>
      <c r="I49" s="56">
        <v>110.30000000000001</v>
      </c>
      <c r="J49" s="56">
        <v>110.30000000000001</v>
      </c>
      <c r="K49" s="56">
        <v>110.30000000000001</v>
      </c>
      <c r="L49" s="56">
        <v>110.30000000000001</v>
      </c>
      <c r="M49" s="58">
        <f>75.3+21.9</f>
        <v>97.199999999999989</v>
      </c>
      <c r="N49" s="58">
        <f>81.9+30.2</f>
        <v>112.10000000000001</v>
      </c>
      <c r="O49" s="58">
        <f>82.4+30.7</f>
        <v>113.10000000000001</v>
      </c>
      <c r="P49" s="58">
        <f>82.9+30.9</f>
        <v>113.80000000000001</v>
      </c>
      <c r="Q49" s="58">
        <f>73.2+21.7</f>
        <v>94.9</v>
      </c>
      <c r="R49" s="58">
        <f>83.1+30.8</f>
        <v>113.89999999999999</v>
      </c>
      <c r="S49" s="58">
        <f>30.8+83.5</f>
        <v>114.3</v>
      </c>
      <c r="T49" s="58">
        <f>30.2+81.2</f>
        <v>111.4</v>
      </c>
      <c r="U49" s="58">
        <f>30.2+81.2</f>
        <v>111.4</v>
      </c>
      <c r="V49" s="58">
        <f>30.2+81.2</f>
        <v>111.4</v>
      </c>
      <c r="W49" s="58">
        <f>29+81</f>
        <v>110</v>
      </c>
      <c r="X49" s="58">
        <f>29+81</f>
        <v>110</v>
      </c>
      <c r="Y49" s="58">
        <f>29+81</f>
        <v>110</v>
      </c>
      <c r="Z49" s="58">
        <f>29+81</f>
        <v>110</v>
      </c>
      <c r="AA49" s="56">
        <v>110</v>
      </c>
      <c r="AB49" s="56">
        <v>110</v>
      </c>
      <c r="AC49" s="56">
        <v>110</v>
      </c>
      <c r="AD49" s="56">
        <v>110</v>
      </c>
      <c r="AE49" s="56">
        <v>110</v>
      </c>
      <c r="AF49" s="56">
        <v>110</v>
      </c>
      <c r="AG49" s="54">
        <v>240</v>
      </c>
      <c r="AH49" s="47">
        <f t="shared" si="2"/>
        <v>114.3</v>
      </c>
      <c r="AI49" s="48">
        <f t="shared" si="3"/>
        <v>94.9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1062.5</v>
      </c>
      <c r="C50" s="60">
        <f t="shared" si="4"/>
        <v>1055.5</v>
      </c>
      <c r="D50" s="60">
        <f t="shared" si="4"/>
        <v>1051.5</v>
      </c>
      <c r="E50" s="60">
        <f>SUM(E11:E48)</f>
        <v>1053.0999999999999</v>
      </c>
      <c r="F50" s="60">
        <f>SUM(F11:F48)</f>
        <v>1062.0999999999999</v>
      </c>
      <c r="G50" s="60">
        <f t="shared" ref="G50:L50" si="5">SUM(G11:G48)</f>
        <v>1052.7</v>
      </c>
      <c r="H50" s="60">
        <f t="shared" si="5"/>
        <v>1052.7</v>
      </c>
      <c r="I50" s="60">
        <f t="shared" si="5"/>
        <v>1052.7</v>
      </c>
      <c r="J50" s="60">
        <f t="shared" si="5"/>
        <v>1058.7</v>
      </c>
      <c r="K50" s="60">
        <f t="shared" si="5"/>
        <v>1076.7</v>
      </c>
      <c r="L50" s="60">
        <f t="shared" si="5"/>
        <v>1076.7</v>
      </c>
      <c r="M50" s="60">
        <f t="shared" si="4"/>
        <v>1099.0999999999999</v>
      </c>
      <c r="N50" s="60">
        <f t="shared" si="4"/>
        <v>1099.0999999999999</v>
      </c>
      <c r="O50" s="60">
        <f t="shared" si="4"/>
        <v>1099.0999999999999</v>
      </c>
      <c r="P50" s="60">
        <f t="shared" si="4"/>
        <v>1103.9000000000001</v>
      </c>
      <c r="Q50" s="60">
        <f t="shared" si="4"/>
        <v>1103.9000000000001</v>
      </c>
      <c r="R50" s="60">
        <f t="shared" si="4"/>
        <v>1103.9000000000001</v>
      </c>
      <c r="S50" s="60">
        <f t="shared" si="4"/>
        <v>1103.9000000000001</v>
      </c>
      <c r="T50" s="60">
        <f t="shared" si="4"/>
        <v>1103.9000000000001</v>
      </c>
      <c r="U50" s="60">
        <f t="shared" si="4"/>
        <v>1108.9000000000001</v>
      </c>
      <c r="V50" s="60">
        <f t="shared" si="4"/>
        <v>1117.8000000000002</v>
      </c>
      <c r="W50" s="60">
        <f t="shared" si="4"/>
        <v>1102.5999999999999</v>
      </c>
      <c r="X50" s="60">
        <f t="shared" si="4"/>
        <v>1102.5999999999999</v>
      </c>
      <c r="Y50" s="60">
        <f t="shared" si="4"/>
        <v>1102.5999999999999</v>
      </c>
      <c r="Z50" s="60">
        <f t="shared" si="4"/>
        <v>1102.5999999999999</v>
      </c>
      <c r="AA50" s="60">
        <f t="shared" si="4"/>
        <v>1201.0999999999999</v>
      </c>
      <c r="AB50" s="60">
        <f>SUM(AB11:AB48)</f>
        <v>1198.4000000000001</v>
      </c>
      <c r="AC50" s="60">
        <f t="shared" si="4"/>
        <v>1142.5</v>
      </c>
      <c r="AD50" s="60">
        <f t="shared" si="4"/>
        <v>1123.5</v>
      </c>
      <c r="AE50" s="60">
        <f t="shared" si="4"/>
        <v>1092.8000000000002</v>
      </c>
      <c r="AF50" s="60">
        <f t="shared" si="4"/>
        <v>1091.8000000000002</v>
      </c>
      <c r="AG50" s="61">
        <f>SUM(AG13:AG48)</f>
        <v>922.14</v>
      </c>
      <c r="AH50" s="47">
        <f t="shared" si="2"/>
        <v>1201.0999999999999</v>
      </c>
      <c r="AI50" s="48">
        <f t="shared" si="3"/>
        <v>1051.5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55</v>
      </c>
      <c r="AF52" s="64">
        <v>55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22.5</v>
      </c>
      <c r="U53" s="66">
        <v>22.5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538.4</v>
      </c>
      <c r="C54" s="60">
        <f t="shared" si="6"/>
        <v>538.4</v>
      </c>
      <c r="D54" s="60">
        <f t="shared" si="6"/>
        <v>538.4</v>
      </c>
      <c r="E54" s="60">
        <f t="shared" si="6"/>
        <v>538.4</v>
      </c>
      <c r="F54" s="60">
        <f t="shared" si="6"/>
        <v>538.4</v>
      </c>
      <c r="G54" s="60">
        <f t="shared" si="6"/>
        <v>538.4</v>
      </c>
      <c r="H54" s="60">
        <f t="shared" si="6"/>
        <v>538.4</v>
      </c>
      <c r="I54" s="60">
        <f t="shared" si="6"/>
        <v>538.4</v>
      </c>
      <c r="J54" s="60">
        <f t="shared" si="6"/>
        <v>538.4</v>
      </c>
      <c r="K54" s="60">
        <f t="shared" si="6"/>
        <v>538.4</v>
      </c>
      <c r="L54" s="60">
        <f t="shared" si="6"/>
        <v>538.4</v>
      </c>
      <c r="M54" s="60">
        <f t="shared" si="6"/>
        <v>538.4</v>
      </c>
      <c r="N54" s="60">
        <f t="shared" si="6"/>
        <v>538.4</v>
      </c>
      <c r="O54" s="60">
        <f t="shared" si="6"/>
        <v>538.4</v>
      </c>
      <c r="P54" s="60">
        <f t="shared" si="6"/>
        <v>538.4</v>
      </c>
      <c r="Q54" s="60">
        <f t="shared" si="6"/>
        <v>538.4</v>
      </c>
      <c r="R54" s="60">
        <f t="shared" si="6"/>
        <v>538.4</v>
      </c>
      <c r="S54" s="60">
        <f t="shared" si="6"/>
        <v>538.4</v>
      </c>
      <c r="T54" s="60">
        <f t="shared" si="6"/>
        <v>538.5</v>
      </c>
      <c r="U54" s="60">
        <f t="shared" si="6"/>
        <v>538.5</v>
      </c>
      <c r="V54" s="60">
        <f t="shared" si="6"/>
        <v>538.4</v>
      </c>
      <c r="W54" s="60">
        <f t="shared" si="6"/>
        <v>538.4</v>
      </c>
      <c r="X54" s="60">
        <f t="shared" si="6"/>
        <v>538.4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>SUM(AB51:AB53)</f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533.4</v>
      </c>
      <c r="AF54" s="60">
        <f t="shared" si="6"/>
        <v>533.4</v>
      </c>
      <c r="AG54" s="61">
        <f t="shared" si="6"/>
        <v>538.1</v>
      </c>
      <c r="AH54" s="47">
        <f t="shared" si="2"/>
        <v>538.5</v>
      </c>
      <c r="AI54" s="48">
        <f t="shared" si="3"/>
        <v>533.4</v>
      </c>
      <c r="AK54" s="50"/>
    </row>
    <row r="55" spans="1:41" x14ac:dyDescent="0.25">
      <c r="A55" s="44" t="s">
        <v>63</v>
      </c>
      <c r="B55" s="45">
        <v>121</v>
      </c>
      <c r="C55" s="45">
        <v>110</v>
      </c>
      <c r="D55" s="45">
        <v>110</v>
      </c>
      <c r="E55" s="45">
        <v>110</v>
      </c>
      <c r="F55" s="45">
        <v>112.3</v>
      </c>
      <c r="G55" s="45">
        <v>112.3</v>
      </c>
      <c r="H55" s="45">
        <v>112.3</v>
      </c>
      <c r="I55" s="45">
        <v>112.3</v>
      </c>
      <c r="J55" s="45">
        <v>112.3</v>
      </c>
      <c r="K55" s="45">
        <v>135</v>
      </c>
      <c r="L55" s="45">
        <v>135</v>
      </c>
      <c r="M55" s="45">
        <v>135.19999999999999</v>
      </c>
      <c r="N55" s="45">
        <v>135.19999999999999</v>
      </c>
      <c r="O55" s="45">
        <v>135.19999999999999</v>
      </c>
      <c r="P55" s="45">
        <v>135.19999999999999</v>
      </c>
      <c r="Q55" s="45">
        <v>136.4</v>
      </c>
      <c r="R55" s="45">
        <v>136</v>
      </c>
      <c r="S55" s="45">
        <v>136</v>
      </c>
      <c r="T55" s="45">
        <v>136</v>
      </c>
      <c r="U55" s="45">
        <v>136</v>
      </c>
      <c r="V55" s="45">
        <v>131.4</v>
      </c>
      <c r="W55" s="45">
        <v>121.5</v>
      </c>
      <c r="X55" s="45">
        <v>121.2</v>
      </c>
      <c r="Y55" s="45">
        <v>131</v>
      </c>
      <c r="Z55" s="45">
        <v>136.80000000000001</v>
      </c>
      <c r="AA55" s="45">
        <v>137</v>
      </c>
      <c r="AB55" s="45">
        <v>137</v>
      </c>
      <c r="AC55" s="45">
        <v>137</v>
      </c>
      <c r="AD55" s="45">
        <v>130</v>
      </c>
      <c r="AE55" s="45">
        <v>130</v>
      </c>
      <c r="AF55" s="45">
        <v>120</v>
      </c>
      <c r="AG55" s="51">
        <v>144</v>
      </c>
      <c r="AH55" s="47">
        <f t="shared" si="2"/>
        <v>137</v>
      </c>
      <c r="AI55" s="48">
        <f t="shared" si="3"/>
        <v>110</v>
      </c>
      <c r="AK55" s="50"/>
    </row>
    <row r="56" spans="1:41" x14ac:dyDescent="0.25">
      <c r="A56" s="53" t="s">
        <v>64</v>
      </c>
      <c r="B56" s="64">
        <v>55</v>
      </c>
      <c r="C56" s="64">
        <v>55</v>
      </c>
      <c r="D56" s="64">
        <v>55</v>
      </c>
      <c r="E56" s="64">
        <v>55</v>
      </c>
      <c r="F56" s="64">
        <v>54.9</v>
      </c>
      <c r="G56" s="64">
        <v>54.9</v>
      </c>
      <c r="H56" s="64">
        <v>54.9</v>
      </c>
      <c r="I56" s="64">
        <v>54.9</v>
      </c>
      <c r="J56" s="64">
        <v>54.9</v>
      </c>
      <c r="K56" s="64">
        <v>61</v>
      </c>
      <c r="L56" s="64">
        <v>70</v>
      </c>
      <c r="M56" s="64">
        <v>69.400000000000006</v>
      </c>
      <c r="N56" s="64">
        <v>69.400000000000006</v>
      </c>
      <c r="O56" s="64">
        <v>69.400000000000006</v>
      </c>
      <c r="P56" s="64">
        <v>69.400000000000006</v>
      </c>
      <c r="Q56" s="64">
        <v>70.5</v>
      </c>
      <c r="R56" s="64">
        <v>70.7</v>
      </c>
      <c r="S56" s="64">
        <v>70.7</v>
      </c>
      <c r="T56" s="64">
        <v>70.7</v>
      </c>
      <c r="U56" s="64">
        <v>70.7</v>
      </c>
      <c r="V56" s="45">
        <v>69.099999999999994</v>
      </c>
      <c r="W56" s="45">
        <v>51.4</v>
      </c>
      <c r="X56" s="45">
        <v>52.8</v>
      </c>
      <c r="Y56" s="45">
        <v>71</v>
      </c>
      <c r="Z56" s="45">
        <v>69.3</v>
      </c>
      <c r="AA56" s="45">
        <v>67.8</v>
      </c>
      <c r="AB56" s="45">
        <v>67.8</v>
      </c>
      <c r="AC56" s="45">
        <v>67.8</v>
      </c>
      <c r="AD56" s="64">
        <v>66</v>
      </c>
      <c r="AE56" s="64">
        <v>66</v>
      </c>
      <c r="AF56" s="64">
        <v>52</v>
      </c>
      <c r="AG56" s="54">
        <v>70</v>
      </c>
      <c r="AH56" s="47">
        <f t="shared" si="2"/>
        <v>71</v>
      </c>
      <c r="AI56" s="48">
        <f t="shared" si="3"/>
        <v>51.4</v>
      </c>
      <c r="AK56" s="50"/>
    </row>
    <row r="57" spans="1:41" x14ac:dyDescent="0.25">
      <c r="A57" s="53" t="s">
        <v>65</v>
      </c>
      <c r="B57" s="64">
        <v>55</v>
      </c>
      <c r="C57" s="64">
        <v>55</v>
      </c>
      <c r="D57" s="64">
        <v>55</v>
      </c>
      <c r="E57" s="64">
        <v>55</v>
      </c>
      <c r="F57" s="64">
        <v>56.1</v>
      </c>
      <c r="G57" s="64">
        <v>56.1</v>
      </c>
      <c r="H57" s="64">
        <v>56.1</v>
      </c>
      <c r="I57" s="64">
        <v>56.1</v>
      </c>
      <c r="J57" s="64">
        <v>56.1</v>
      </c>
      <c r="K57" s="64">
        <v>56.1</v>
      </c>
      <c r="L57" s="64">
        <v>63.3</v>
      </c>
      <c r="M57" s="64">
        <v>53.2</v>
      </c>
      <c r="N57" s="64">
        <v>63.8</v>
      </c>
      <c r="O57" s="64">
        <v>63.8</v>
      </c>
      <c r="P57" s="64">
        <v>63.8</v>
      </c>
      <c r="Q57" s="64">
        <v>65.2</v>
      </c>
      <c r="R57" s="64">
        <v>64.599999999999994</v>
      </c>
      <c r="S57" s="64">
        <v>64.599999999999994</v>
      </c>
      <c r="T57" s="64">
        <v>64.599999999999994</v>
      </c>
      <c r="U57" s="64">
        <v>64.599999999999994</v>
      </c>
      <c r="V57" s="45">
        <v>64.900000000000006</v>
      </c>
      <c r="W57" s="45">
        <v>50.2</v>
      </c>
      <c r="X57" s="45">
        <v>50.1</v>
      </c>
      <c r="Y57" s="45">
        <v>65</v>
      </c>
      <c r="Z57" s="45">
        <v>64.900000000000006</v>
      </c>
      <c r="AA57" s="45">
        <v>50.7</v>
      </c>
      <c r="AB57" s="45">
        <v>64.8</v>
      </c>
      <c r="AC57" s="45">
        <v>64.8</v>
      </c>
      <c r="AD57" s="64">
        <v>64.8</v>
      </c>
      <c r="AE57" s="64">
        <v>64.8</v>
      </c>
      <c r="AF57" s="64">
        <v>62</v>
      </c>
      <c r="AG57" s="54">
        <v>69</v>
      </c>
      <c r="AH57" s="47">
        <f t="shared" si="2"/>
        <v>65.2</v>
      </c>
      <c r="AI57" s="48">
        <f t="shared" si="3"/>
        <v>50.1</v>
      </c>
      <c r="AK57" s="50"/>
    </row>
    <row r="58" spans="1:41" x14ac:dyDescent="0.25">
      <c r="A58" s="53" t="s">
        <v>66</v>
      </c>
      <c r="B58" s="64">
        <v>52</v>
      </c>
      <c r="C58" s="64">
        <v>52</v>
      </c>
      <c r="D58" s="64">
        <v>52</v>
      </c>
      <c r="E58" s="64">
        <v>42.3</v>
      </c>
      <c r="F58" s="56">
        <v>42.1</v>
      </c>
      <c r="G58" s="56">
        <v>42.1</v>
      </c>
      <c r="H58" s="56">
        <v>42.1</v>
      </c>
      <c r="I58" s="56">
        <v>42.1</v>
      </c>
      <c r="J58" s="56">
        <v>42.1</v>
      </c>
      <c r="K58" s="56">
        <v>42.1</v>
      </c>
      <c r="L58" s="56">
        <v>53.9</v>
      </c>
      <c r="M58" s="64">
        <v>40.799999999999997</v>
      </c>
      <c r="N58" s="64">
        <v>50.9</v>
      </c>
      <c r="O58" s="64">
        <v>62</v>
      </c>
      <c r="P58" s="64">
        <v>62</v>
      </c>
      <c r="Q58" s="64">
        <v>61.4</v>
      </c>
      <c r="R58" s="64">
        <v>61.4</v>
      </c>
      <c r="S58" s="64">
        <v>54.9</v>
      </c>
      <c r="T58" s="64">
        <v>54.9</v>
      </c>
      <c r="U58" s="64">
        <v>60.9</v>
      </c>
      <c r="V58" s="45">
        <v>50.9</v>
      </c>
      <c r="W58" s="45">
        <v>42.3</v>
      </c>
      <c r="X58" s="45">
        <v>42.3</v>
      </c>
      <c r="Y58" s="45">
        <v>57.4</v>
      </c>
      <c r="Z58" s="45">
        <v>63</v>
      </c>
      <c r="AA58" s="45">
        <v>41.5</v>
      </c>
      <c r="AB58" s="45">
        <v>60</v>
      </c>
      <c r="AC58" s="45">
        <v>60</v>
      </c>
      <c r="AD58" s="64">
        <v>53</v>
      </c>
      <c r="AE58" s="64">
        <v>53</v>
      </c>
      <c r="AF58" s="64">
        <v>42</v>
      </c>
      <c r="AG58" s="54">
        <v>60</v>
      </c>
      <c r="AH58" s="47">
        <f t="shared" si="2"/>
        <v>63</v>
      </c>
      <c r="AI58" s="48">
        <f t="shared" si="3"/>
        <v>40.799999999999997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12</v>
      </c>
      <c r="E59" s="64">
        <v>12</v>
      </c>
      <c r="F59" s="64">
        <v>12</v>
      </c>
      <c r="G59" s="64">
        <v>12</v>
      </c>
      <c r="H59" s="64">
        <v>12</v>
      </c>
      <c r="I59" s="64">
        <v>12</v>
      </c>
      <c r="J59" s="64">
        <v>12</v>
      </c>
      <c r="K59" s="64">
        <v>14</v>
      </c>
      <c r="L59" s="56">
        <v>14</v>
      </c>
      <c r="M59" s="64">
        <v>12.7</v>
      </c>
      <c r="N59" s="64">
        <v>28</v>
      </c>
      <c r="O59" s="64">
        <v>28</v>
      </c>
      <c r="P59" s="64">
        <v>28</v>
      </c>
      <c r="Q59" s="64">
        <v>28</v>
      </c>
      <c r="R59" s="64">
        <v>28</v>
      </c>
      <c r="S59" s="64">
        <v>28</v>
      </c>
      <c r="T59" s="64">
        <v>28</v>
      </c>
      <c r="U59" s="64">
        <v>28</v>
      </c>
      <c r="V59" s="45">
        <v>28</v>
      </c>
      <c r="W59" s="45">
        <v>28</v>
      </c>
      <c r="X59" s="45">
        <v>28</v>
      </c>
      <c r="Y59" s="45">
        <v>28</v>
      </c>
      <c r="Z59" s="45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12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8.4</v>
      </c>
      <c r="N60" s="64">
        <v>12.4</v>
      </c>
      <c r="O60" s="64">
        <v>11.5</v>
      </c>
      <c r="P60" s="64">
        <v>11.5</v>
      </c>
      <c r="Q60" s="64">
        <v>13.8</v>
      </c>
      <c r="R60" s="64">
        <v>13.8</v>
      </c>
      <c r="S60" s="64">
        <v>10</v>
      </c>
      <c r="T60" s="64">
        <v>8</v>
      </c>
      <c r="U60" s="64">
        <v>5.0999999999999996</v>
      </c>
      <c r="V60" s="45">
        <v>2.2999999999999998</v>
      </c>
      <c r="W60" s="45">
        <v>2.2999999999999998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13.8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</v>
      </c>
      <c r="G61" s="64">
        <v>13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13</v>
      </c>
      <c r="Z61" s="64">
        <v>13</v>
      </c>
      <c r="AA61" s="64">
        <v>13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13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0</v>
      </c>
      <c r="R62" s="64">
        <v>0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</v>
      </c>
      <c r="C63" s="64">
        <v>11</v>
      </c>
      <c r="D63" s="64">
        <v>11</v>
      </c>
      <c r="E63" s="64">
        <v>11</v>
      </c>
      <c r="F63" s="64">
        <v>11</v>
      </c>
      <c r="G63" s="64">
        <v>11</v>
      </c>
      <c r="H63" s="64">
        <v>11</v>
      </c>
      <c r="I63" s="64">
        <v>11</v>
      </c>
      <c r="J63" s="64">
        <v>11</v>
      </c>
      <c r="K63" s="64">
        <v>11</v>
      </c>
      <c r="L63" s="64">
        <v>11</v>
      </c>
      <c r="M63" s="64">
        <v>7.7</v>
      </c>
      <c r="N63" s="64">
        <v>7.7</v>
      </c>
      <c r="O63" s="64">
        <v>7.7</v>
      </c>
      <c r="P63" s="64">
        <v>7.7</v>
      </c>
      <c r="Q63" s="64">
        <v>7.7</v>
      </c>
      <c r="R63" s="64">
        <v>7.7</v>
      </c>
      <c r="S63" s="64">
        <v>9</v>
      </c>
      <c r="T63" s="64">
        <v>9</v>
      </c>
      <c r="U63" s="64">
        <v>9.3000000000000007</v>
      </c>
      <c r="V63" s="64">
        <v>9.3000000000000007</v>
      </c>
      <c r="W63" s="64">
        <v>9.3000000000000007</v>
      </c>
      <c r="X63" s="64">
        <v>9.3000000000000007</v>
      </c>
      <c r="Y63" s="64">
        <v>9.3000000000000007</v>
      </c>
      <c r="Z63" s="64">
        <v>9.1999999999999993</v>
      </c>
      <c r="AA63" s="64">
        <v>9.1999999999999993</v>
      </c>
      <c r="AB63" s="64">
        <v>9.1999999999999993</v>
      </c>
      <c r="AC63" s="64">
        <v>9.1999999999999993</v>
      </c>
      <c r="AD63" s="64">
        <v>9.1999999999999993</v>
      </c>
      <c r="AE63" s="64">
        <v>9.1999999999999993</v>
      </c>
      <c r="AF63" s="64">
        <v>9.1999999999999993</v>
      </c>
      <c r="AG63" s="54">
        <v>14.1</v>
      </c>
      <c r="AH63" s="47">
        <f t="shared" si="2"/>
        <v>11</v>
      </c>
      <c r="AI63" s="48">
        <f t="shared" si="3"/>
        <v>7.7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13.8</v>
      </c>
      <c r="C64" s="64">
        <v>13.8</v>
      </c>
      <c r="D64" s="64">
        <v>13.8</v>
      </c>
      <c r="E64" s="64">
        <v>13.8</v>
      </c>
      <c r="F64" s="64">
        <v>13.8</v>
      </c>
      <c r="G64" s="64">
        <v>13.8</v>
      </c>
      <c r="H64" s="64">
        <v>13.8</v>
      </c>
      <c r="I64" s="64">
        <v>13.8</v>
      </c>
      <c r="J64" s="64">
        <v>13.8</v>
      </c>
      <c r="K64" s="64">
        <v>13.8</v>
      </c>
      <c r="L64" s="64">
        <v>13.8</v>
      </c>
      <c r="M64" s="64">
        <v>13.8</v>
      </c>
      <c r="N64" s="64">
        <v>13.8</v>
      </c>
      <c r="O64" s="64">
        <v>13.8</v>
      </c>
      <c r="P64" s="64">
        <v>6.6</v>
      </c>
      <c r="Q64" s="64">
        <v>6.6</v>
      </c>
      <c r="R64" s="64">
        <v>6.6</v>
      </c>
      <c r="S64" s="64">
        <v>6.6</v>
      </c>
      <c r="T64" s="64">
        <v>6.6</v>
      </c>
      <c r="U64" s="64">
        <v>13.9</v>
      </c>
      <c r="V64" s="64">
        <v>13.9</v>
      </c>
      <c r="W64" s="64">
        <v>13.9</v>
      </c>
      <c r="X64" s="64">
        <v>13.9</v>
      </c>
      <c r="Y64" s="64">
        <v>13.9</v>
      </c>
      <c r="Z64" s="64">
        <v>13.9</v>
      </c>
      <c r="AA64" s="64">
        <v>13.9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13.9</v>
      </c>
      <c r="AI64" s="48">
        <f t="shared" si="3"/>
        <v>6.6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372.54</v>
      </c>
      <c r="C68" s="60">
        <f t="shared" si="7"/>
        <v>361.54</v>
      </c>
      <c r="D68" s="60">
        <f t="shared" si="7"/>
        <v>345.54</v>
      </c>
      <c r="E68" s="60">
        <f t="shared" si="7"/>
        <v>335.84000000000003</v>
      </c>
      <c r="F68" s="60">
        <f t="shared" si="7"/>
        <v>338.94</v>
      </c>
      <c r="G68" s="60">
        <f t="shared" si="7"/>
        <v>338.94</v>
      </c>
      <c r="H68" s="60">
        <f t="shared" si="7"/>
        <v>338.94</v>
      </c>
      <c r="I68" s="60">
        <f t="shared" si="7"/>
        <v>338.94</v>
      </c>
      <c r="J68" s="60">
        <f t="shared" si="7"/>
        <v>338.94</v>
      </c>
      <c r="K68" s="60">
        <f t="shared" si="7"/>
        <v>369.74</v>
      </c>
      <c r="L68" s="60">
        <f t="shared" si="7"/>
        <v>397.74</v>
      </c>
      <c r="M68" s="60">
        <f t="shared" si="7"/>
        <v>377.94</v>
      </c>
      <c r="N68" s="60">
        <f t="shared" si="7"/>
        <v>417.93999999999994</v>
      </c>
      <c r="O68" s="60">
        <f t="shared" si="7"/>
        <v>428.14</v>
      </c>
      <c r="P68" s="60">
        <f t="shared" si="7"/>
        <v>420.94</v>
      </c>
      <c r="Q68" s="60">
        <f t="shared" si="7"/>
        <v>421.34000000000003</v>
      </c>
      <c r="R68" s="60">
        <f t="shared" si="7"/>
        <v>420.53999999999996</v>
      </c>
      <c r="S68" s="60">
        <f t="shared" si="7"/>
        <v>416.73999999999995</v>
      </c>
      <c r="T68" s="60">
        <f t="shared" si="7"/>
        <v>414.73999999999995</v>
      </c>
      <c r="U68" s="60">
        <f t="shared" si="7"/>
        <v>425.43999999999994</v>
      </c>
      <c r="V68" s="60">
        <f t="shared" si="7"/>
        <v>406.73999999999995</v>
      </c>
      <c r="W68" s="60">
        <f t="shared" si="7"/>
        <v>355.84000000000003</v>
      </c>
      <c r="X68" s="60">
        <f t="shared" si="7"/>
        <v>354.53999999999996</v>
      </c>
      <c r="Y68" s="60">
        <f t="shared" si="7"/>
        <v>412.53999999999996</v>
      </c>
      <c r="Z68" s="60">
        <f t="shared" si="7"/>
        <v>422.03999999999996</v>
      </c>
      <c r="AA68" s="60">
        <f t="shared" si="7"/>
        <v>385.03999999999996</v>
      </c>
      <c r="AB68" s="60">
        <f t="shared" si="7"/>
        <v>417.64</v>
      </c>
      <c r="AC68" s="60">
        <f t="shared" si="7"/>
        <v>417.64</v>
      </c>
      <c r="AD68" s="60">
        <f t="shared" si="7"/>
        <v>401.84</v>
      </c>
      <c r="AE68" s="60">
        <f t="shared" si="7"/>
        <v>401.84</v>
      </c>
      <c r="AF68" s="60">
        <f t="shared" si="7"/>
        <v>364.03999999999996</v>
      </c>
      <c r="AG68" s="61">
        <f t="shared" si="7"/>
        <v>489.91</v>
      </c>
      <c r="AH68" s="47">
        <f t="shared" si="2"/>
        <v>428.14</v>
      </c>
      <c r="AI68" s="48">
        <f t="shared" si="3"/>
        <v>335.84000000000003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4.9000000000000004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4.9000000000000004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1.8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1.8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 t="shared" si="8"/>
        <v>0</v>
      </c>
      <c r="T72" s="60">
        <f t="shared" si="8"/>
        <v>0</v>
      </c>
      <c r="U72" s="60">
        <f t="shared" si="8"/>
        <v>0</v>
      </c>
      <c r="V72" s="60">
        <f t="shared" si="8"/>
        <v>0</v>
      </c>
      <c r="W72" s="60">
        <f t="shared" si="8"/>
        <v>0</v>
      </c>
      <c r="X72" s="60">
        <f t="shared" si="8"/>
        <v>0</v>
      </c>
      <c r="Y72" s="60">
        <f t="shared" si="8"/>
        <v>0</v>
      </c>
      <c r="Z72" s="60">
        <f t="shared" si="8"/>
        <v>6.7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6.7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-41</v>
      </c>
      <c r="C73" s="45">
        <v>-41</v>
      </c>
      <c r="D73" s="45">
        <v>-30.5</v>
      </c>
      <c r="E73" s="45">
        <v>-35</v>
      </c>
      <c r="F73" s="45">
        <v>-36.200000000000003</v>
      </c>
      <c r="G73" s="45">
        <v>-23</v>
      </c>
      <c r="H73" s="45"/>
      <c r="I73" s="45"/>
      <c r="J73" s="45">
        <v>-46.8</v>
      </c>
      <c r="K73" s="45">
        <v>-45.6</v>
      </c>
      <c r="L73" s="45">
        <v>-14.3</v>
      </c>
      <c r="M73" s="45">
        <v>-15.5</v>
      </c>
      <c r="N73" s="45">
        <v>-27.6</v>
      </c>
      <c r="O73" s="45">
        <v>-11.1</v>
      </c>
      <c r="P73" s="45">
        <v>-2</v>
      </c>
      <c r="Q73" s="45">
        <v>-6.6</v>
      </c>
      <c r="R73" s="45">
        <v>-21</v>
      </c>
      <c r="S73" s="45">
        <v>-6.3</v>
      </c>
      <c r="T73" s="45">
        <v>9</v>
      </c>
      <c r="U73" s="45">
        <v>-50.3</v>
      </c>
      <c r="V73" s="45">
        <v>-51</v>
      </c>
      <c r="W73" s="45">
        <v>-9.5</v>
      </c>
      <c r="X73" s="45">
        <v>-14.5</v>
      </c>
      <c r="Y73" s="45">
        <v>-17.899999999999999</v>
      </c>
      <c r="Z73" s="45">
        <v>-34.6</v>
      </c>
      <c r="AA73" s="45">
        <v>-21.7</v>
      </c>
      <c r="AB73" s="45">
        <v>-12</v>
      </c>
      <c r="AC73" s="45">
        <v>-12</v>
      </c>
      <c r="AD73" s="45">
        <v>-12</v>
      </c>
      <c r="AE73" s="45">
        <v>-20</v>
      </c>
      <c r="AF73" s="45">
        <v>-32</v>
      </c>
      <c r="AG73" s="51"/>
      <c r="AH73" s="47">
        <f t="shared" si="2"/>
        <v>9</v>
      </c>
      <c r="AI73" s="48">
        <f t="shared" si="3"/>
        <v>-51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/>
      <c r="G74" s="64"/>
      <c r="H74" s="64"/>
      <c r="I74" s="64"/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/>
      <c r="Q74" s="64"/>
      <c r="R74" s="64"/>
      <c r="S74" s="64"/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-351</v>
      </c>
      <c r="C75" s="64">
        <v>-357</v>
      </c>
      <c r="D75" s="64">
        <v>-400</v>
      </c>
      <c r="E75" s="64">
        <v>-392</v>
      </c>
      <c r="F75" s="64">
        <v>-425</v>
      </c>
      <c r="G75" s="64">
        <v>-426</v>
      </c>
      <c r="H75" s="64"/>
      <c r="I75" s="64"/>
      <c r="J75" s="64">
        <v>-457</v>
      </c>
      <c r="K75" s="64">
        <v>-454.2</v>
      </c>
      <c r="L75" s="64">
        <v>-492</v>
      </c>
      <c r="M75" s="64">
        <v>-451.7</v>
      </c>
      <c r="N75" s="64">
        <v>-439.6</v>
      </c>
      <c r="O75" s="64">
        <v>-465.1</v>
      </c>
      <c r="P75" s="64">
        <v>-447.8</v>
      </c>
      <c r="Q75" s="64">
        <v>-405</v>
      </c>
      <c r="R75" s="64">
        <v>-459.9</v>
      </c>
      <c r="S75" s="64">
        <v>-446.5</v>
      </c>
      <c r="T75" s="64">
        <v>-346.4</v>
      </c>
      <c r="U75" s="64">
        <v>-477.6</v>
      </c>
      <c r="V75" s="64">
        <v>-519</v>
      </c>
      <c r="W75" s="64">
        <v>-474</v>
      </c>
      <c r="X75" s="64">
        <v>-472.1</v>
      </c>
      <c r="Y75" s="64">
        <v>-466</v>
      </c>
      <c r="Z75" s="64">
        <v>-371.5</v>
      </c>
      <c r="AA75" s="64">
        <v>-386.2</v>
      </c>
      <c r="AB75" s="64">
        <v>-361</v>
      </c>
      <c r="AC75" s="64">
        <v>-342</v>
      </c>
      <c r="AD75" s="64">
        <v>-320</v>
      </c>
      <c r="AE75" s="64">
        <v>-320</v>
      </c>
      <c r="AF75" s="64">
        <v>-310</v>
      </c>
      <c r="AG75" s="74"/>
      <c r="AH75" s="47">
        <f t="shared" si="2"/>
        <v>-310</v>
      </c>
      <c r="AI75" s="48">
        <f t="shared" si="3"/>
        <v>-519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64">
        <v>0</v>
      </c>
      <c r="F76" s="64">
        <v>0</v>
      </c>
      <c r="G76" s="64">
        <v>0</v>
      </c>
      <c r="H76" s="64">
        <v>0</v>
      </c>
      <c r="I76" s="64">
        <v>0</v>
      </c>
      <c r="J76" s="64">
        <v>0</v>
      </c>
      <c r="K76" s="64">
        <v>0</v>
      </c>
      <c r="L76" s="64">
        <v>0</v>
      </c>
      <c r="M76" s="64">
        <v>0</v>
      </c>
      <c r="N76" s="64">
        <v>0</v>
      </c>
      <c r="O76" s="64">
        <v>0</v>
      </c>
      <c r="P76" s="75"/>
      <c r="Q76" s="75"/>
      <c r="R76" s="75"/>
      <c r="S76" s="75"/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64">
        <v>0</v>
      </c>
      <c r="C77" s="64">
        <v>0</v>
      </c>
      <c r="D77" s="64">
        <v>0</v>
      </c>
      <c r="E77" s="64">
        <v>0</v>
      </c>
      <c r="F77" s="64">
        <v>0</v>
      </c>
      <c r="G77" s="64">
        <v>0</v>
      </c>
      <c r="H77" s="64">
        <v>0</v>
      </c>
      <c r="I77" s="64">
        <v>0</v>
      </c>
      <c r="J77" s="64">
        <v>0</v>
      </c>
      <c r="K77" s="64">
        <v>0</v>
      </c>
      <c r="L77" s="64">
        <v>0</v>
      </c>
      <c r="M77" s="64">
        <v>0</v>
      </c>
      <c r="N77" s="64">
        <v>0</v>
      </c>
      <c r="O77" s="64">
        <v>0</v>
      </c>
      <c r="P77" s="45"/>
      <c r="Q77" s="45"/>
      <c r="R77" s="45"/>
      <c r="S77" s="45"/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64">
        <v>0</v>
      </c>
      <c r="C78" s="64">
        <v>0</v>
      </c>
      <c r="D78" s="64">
        <v>0</v>
      </c>
      <c r="E78" s="64">
        <v>0</v>
      </c>
      <c r="F78" s="64">
        <v>0</v>
      </c>
      <c r="G78" s="64">
        <v>0</v>
      </c>
      <c r="H78" s="64">
        <v>0</v>
      </c>
      <c r="I78" s="64">
        <v>0</v>
      </c>
      <c r="J78" s="64">
        <v>0</v>
      </c>
      <c r="K78" s="64">
        <v>0</v>
      </c>
      <c r="L78" s="64">
        <v>0</v>
      </c>
      <c r="M78" s="64">
        <v>0</v>
      </c>
      <c r="N78" s="64">
        <v>0</v>
      </c>
      <c r="O78" s="64">
        <v>0</v>
      </c>
      <c r="P78" s="76"/>
      <c r="Q78" s="76"/>
      <c r="R78" s="76"/>
      <c r="S78" s="76"/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64">
        <v>0</v>
      </c>
      <c r="C79" s="64">
        <v>0</v>
      </c>
      <c r="D79" s="64">
        <v>0</v>
      </c>
      <c r="E79" s="64">
        <v>0</v>
      </c>
      <c r="F79" s="64">
        <v>0</v>
      </c>
      <c r="G79" s="64">
        <v>0</v>
      </c>
      <c r="H79" s="64">
        <v>0</v>
      </c>
      <c r="I79" s="64">
        <v>0</v>
      </c>
      <c r="J79" s="64">
        <v>0</v>
      </c>
      <c r="K79" s="64">
        <v>0</v>
      </c>
      <c r="L79" s="64">
        <v>0</v>
      </c>
      <c r="M79" s="64">
        <v>0</v>
      </c>
      <c r="N79" s="64">
        <v>0</v>
      </c>
      <c r="O79" s="64">
        <v>0</v>
      </c>
      <c r="P79" s="76"/>
      <c r="Q79" s="76"/>
      <c r="R79" s="76"/>
      <c r="S79" s="76"/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64">
        <v>0</v>
      </c>
      <c r="C80" s="64">
        <v>0</v>
      </c>
      <c r="D80" s="64">
        <v>0</v>
      </c>
      <c r="E80" s="64">
        <v>0</v>
      </c>
      <c r="F80" s="64">
        <v>0</v>
      </c>
      <c r="G80" s="64">
        <v>0</v>
      </c>
      <c r="H80" s="64">
        <v>0</v>
      </c>
      <c r="I80" s="64">
        <v>0</v>
      </c>
      <c r="J80" s="64">
        <v>0</v>
      </c>
      <c r="K80" s="64">
        <v>0</v>
      </c>
      <c r="L80" s="64">
        <v>0</v>
      </c>
      <c r="M80" s="64">
        <v>0</v>
      </c>
      <c r="N80" s="64">
        <v>0</v>
      </c>
      <c r="O80" s="64">
        <v>0</v>
      </c>
      <c r="P80" s="76"/>
      <c r="Q80" s="76"/>
      <c r="R80" s="76"/>
      <c r="S80" s="76"/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64">
        <v>0</v>
      </c>
      <c r="C81" s="64">
        <v>0</v>
      </c>
      <c r="D81" s="64">
        <v>0</v>
      </c>
      <c r="E81" s="64">
        <v>0</v>
      </c>
      <c r="F81" s="64">
        <v>0</v>
      </c>
      <c r="G81" s="64">
        <v>0</v>
      </c>
      <c r="H81" s="64">
        <v>0</v>
      </c>
      <c r="I81" s="64">
        <v>0</v>
      </c>
      <c r="J81" s="64">
        <v>0</v>
      </c>
      <c r="K81" s="64">
        <v>0</v>
      </c>
      <c r="L81" s="64">
        <v>0</v>
      </c>
      <c r="M81" s="64">
        <v>0</v>
      </c>
      <c r="N81" s="64">
        <v>0</v>
      </c>
      <c r="O81" s="64">
        <v>0</v>
      </c>
      <c r="P81" s="76"/>
      <c r="Q81" s="76"/>
      <c r="R81" s="76"/>
      <c r="S81" s="76"/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64">
        <v>0</v>
      </c>
      <c r="C82" s="64">
        <v>0</v>
      </c>
      <c r="D82" s="64">
        <v>0</v>
      </c>
      <c r="E82" s="64">
        <v>0</v>
      </c>
      <c r="F82" s="64">
        <v>0</v>
      </c>
      <c r="G82" s="64">
        <v>0</v>
      </c>
      <c r="H82" s="64">
        <v>0</v>
      </c>
      <c r="I82" s="64">
        <v>0</v>
      </c>
      <c r="J82" s="64">
        <v>0</v>
      </c>
      <c r="K82" s="64">
        <v>0</v>
      </c>
      <c r="L82" s="64">
        <v>0</v>
      </c>
      <c r="M82" s="64">
        <v>0</v>
      </c>
      <c r="N82" s="64">
        <v>0</v>
      </c>
      <c r="O82" s="64">
        <v>0</v>
      </c>
      <c r="P82" s="76"/>
      <c r="Q82" s="76"/>
      <c r="R82" s="76"/>
      <c r="S82" s="76"/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64">
        <v>0</v>
      </c>
      <c r="C83" s="64">
        <v>0</v>
      </c>
      <c r="D83" s="64">
        <v>0</v>
      </c>
      <c r="E83" s="64">
        <v>0</v>
      </c>
      <c r="F83" s="64">
        <v>0</v>
      </c>
      <c r="G83" s="64">
        <v>0</v>
      </c>
      <c r="H83" s="64">
        <v>0</v>
      </c>
      <c r="I83" s="64">
        <v>0</v>
      </c>
      <c r="J83" s="64">
        <v>0</v>
      </c>
      <c r="K83" s="64">
        <v>0</v>
      </c>
      <c r="L83" s="64">
        <v>0</v>
      </c>
      <c r="M83" s="64">
        <v>0</v>
      </c>
      <c r="N83" s="64">
        <v>0</v>
      </c>
      <c r="O83" s="64">
        <v>0</v>
      </c>
      <c r="P83" s="76"/>
      <c r="Q83" s="76"/>
      <c r="R83" s="76"/>
      <c r="S83" s="76"/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D84" si="11">SUMIF(B73:B83,"&gt;0")</f>
        <v>0</v>
      </c>
      <c r="C84" s="60">
        <f t="shared" si="11"/>
        <v>0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9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0</v>
      </c>
      <c r="AE84" s="60">
        <f>SUMIF(AE73:AE83,"&gt;0")</f>
        <v>0</v>
      </c>
      <c r="AF84" s="60">
        <f>SUMIF(AF73:AF83,"&gt;0")</f>
        <v>0</v>
      </c>
      <c r="AG84" s="87">
        <f>SUM(AG73:AG83)</f>
        <v>0</v>
      </c>
      <c r="AH84" s="47">
        <f t="shared" si="9"/>
        <v>9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1973.44</v>
      </c>
      <c r="C89" s="94">
        <f t="shared" si="12"/>
        <v>1955.44</v>
      </c>
      <c r="D89" s="94">
        <f t="shared" si="12"/>
        <v>1935.44</v>
      </c>
      <c r="E89" s="94">
        <f t="shared" si="12"/>
        <v>1927.3400000000001</v>
      </c>
      <c r="F89" s="94">
        <f t="shared" si="12"/>
        <v>1939.44</v>
      </c>
      <c r="G89" s="94">
        <f t="shared" si="12"/>
        <v>1930.04</v>
      </c>
      <c r="H89" s="94">
        <f t="shared" si="12"/>
        <v>1930.04</v>
      </c>
      <c r="I89" s="94">
        <f t="shared" si="12"/>
        <v>1930.04</v>
      </c>
      <c r="J89" s="94">
        <f t="shared" si="12"/>
        <v>1936.04</v>
      </c>
      <c r="K89" s="94">
        <f t="shared" si="12"/>
        <v>1984.84</v>
      </c>
      <c r="L89" s="94">
        <f t="shared" si="12"/>
        <v>2012.84</v>
      </c>
      <c r="M89" s="94">
        <f t="shared" si="12"/>
        <v>2015.44</v>
      </c>
      <c r="N89" s="94">
        <f t="shared" si="12"/>
        <v>2055.44</v>
      </c>
      <c r="O89" s="94">
        <f t="shared" si="12"/>
        <v>2065.64</v>
      </c>
      <c r="P89" s="94">
        <f t="shared" si="12"/>
        <v>2063.2400000000002</v>
      </c>
      <c r="Q89" s="94">
        <f t="shared" si="12"/>
        <v>2063.6400000000003</v>
      </c>
      <c r="R89" s="94">
        <f t="shared" si="12"/>
        <v>2062.84</v>
      </c>
      <c r="S89" s="94">
        <f t="shared" si="12"/>
        <v>2059.04</v>
      </c>
      <c r="T89" s="94">
        <f t="shared" si="12"/>
        <v>2066.14</v>
      </c>
      <c r="U89" s="94">
        <f t="shared" si="12"/>
        <v>2072.84</v>
      </c>
      <c r="V89" s="94">
        <f t="shared" si="12"/>
        <v>2062.94</v>
      </c>
      <c r="W89" s="94">
        <f t="shared" si="12"/>
        <v>1996.8400000000001</v>
      </c>
      <c r="X89" s="94">
        <f t="shared" si="12"/>
        <v>1995.54</v>
      </c>
      <c r="Y89" s="94">
        <f t="shared" si="12"/>
        <v>2053.54</v>
      </c>
      <c r="Z89" s="94">
        <f t="shared" si="12"/>
        <v>2069.7399999999998</v>
      </c>
      <c r="AA89" s="94">
        <f t="shared" si="12"/>
        <v>2124.54</v>
      </c>
      <c r="AB89" s="94">
        <f t="shared" si="12"/>
        <v>2154.44</v>
      </c>
      <c r="AC89" s="94">
        <f t="shared" si="12"/>
        <v>2098.54</v>
      </c>
      <c r="AD89" s="94">
        <f t="shared" si="12"/>
        <v>2063.7400000000002</v>
      </c>
      <c r="AE89" s="94">
        <f t="shared" si="12"/>
        <v>2028.0400000000002</v>
      </c>
      <c r="AF89" s="94">
        <f t="shared" si="12"/>
        <v>1989.2400000000002</v>
      </c>
      <c r="AG89" s="61">
        <f t="shared" si="12"/>
        <v>2111.5500000000002</v>
      </c>
      <c r="AH89" s="47">
        <f t="shared" si="9"/>
        <v>2154.44</v>
      </c>
      <c r="AI89" s="48">
        <f t="shared" si="10"/>
        <v>1927.3400000000001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 t="shared" ref="B91:AF91" si="13">B89+B90</f>
        <v>1973.44</v>
      </c>
      <c r="C91" s="94">
        <f t="shared" si="13"/>
        <v>1955.44</v>
      </c>
      <c r="D91" s="94">
        <f t="shared" si="13"/>
        <v>1935.44</v>
      </c>
      <c r="E91" s="94">
        <f t="shared" si="13"/>
        <v>1927.3400000000001</v>
      </c>
      <c r="F91" s="94">
        <f t="shared" si="13"/>
        <v>1939.44</v>
      </c>
      <c r="G91" s="94">
        <f t="shared" si="13"/>
        <v>1930.04</v>
      </c>
      <c r="H91" s="94">
        <f t="shared" si="13"/>
        <v>1930.04</v>
      </c>
      <c r="I91" s="94">
        <f t="shared" si="13"/>
        <v>1930.04</v>
      </c>
      <c r="J91" s="94">
        <f t="shared" si="13"/>
        <v>1936.04</v>
      </c>
      <c r="K91" s="94">
        <f t="shared" si="13"/>
        <v>1984.84</v>
      </c>
      <c r="L91" s="94">
        <f t="shared" si="13"/>
        <v>2012.84</v>
      </c>
      <c r="M91" s="94">
        <f t="shared" si="13"/>
        <v>2015.44</v>
      </c>
      <c r="N91" s="94">
        <f t="shared" si="13"/>
        <v>2055.44</v>
      </c>
      <c r="O91" s="94">
        <f t="shared" si="13"/>
        <v>2065.64</v>
      </c>
      <c r="P91" s="94">
        <f t="shared" si="13"/>
        <v>2063.2400000000002</v>
      </c>
      <c r="Q91" s="94">
        <f t="shared" si="13"/>
        <v>2063.6400000000003</v>
      </c>
      <c r="R91" s="94">
        <f t="shared" si="13"/>
        <v>2062.84</v>
      </c>
      <c r="S91" s="94">
        <f t="shared" si="13"/>
        <v>2059.04</v>
      </c>
      <c r="T91" s="94">
        <f t="shared" si="13"/>
        <v>2066.14</v>
      </c>
      <c r="U91" s="94">
        <f t="shared" si="13"/>
        <v>2072.84</v>
      </c>
      <c r="V91" s="94">
        <f t="shared" si="13"/>
        <v>2062.94</v>
      </c>
      <c r="W91" s="94">
        <f t="shared" si="13"/>
        <v>1996.8400000000001</v>
      </c>
      <c r="X91" s="94">
        <f t="shared" si="13"/>
        <v>1995.54</v>
      </c>
      <c r="Y91" s="94">
        <f t="shared" si="13"/>
        <v>2053.54</v>
      </c>
      <c r="Z91" s="94">
        <f t="shared" si="13"/>
        <v>2069.7399999999998</v>
      </c>
      <c r="AA91" s="94">
        <f t="shared" si="13"/>
        <v>2124.54</v>
      </c>
      <c r="AB91" s="94">
        <f t="shared" si="13"/>
        <v>2154.44</v>
      </c>
      <c r="AC91" s="94">
        <f t="shared" si="13"/>
        <v>2098.54</v>
      </c>
      <c r="AD91" s="94">
        <f t="shared" si="13"/>
        <v>2063.7400000000002</v>
      </c>
      <c r="AE91" s="94">
        <f t="shared" si="13"/>
        <v>2028.0400000000002</v>
      </c>
      <c r="AF91" s="94">
        <f t="shared" si="13"/>
        <v>1989.2400000000002</v>
      </c>
      <c r="AG91" s="87">
        <f>AG88+AG84+AG72+AG68+AG50+AG90</f>
        <v>1573.45</v>
      </c>
      <c r="AH91" s="47">
        <f t="shared" si="9"/>
        <v>2154.44</v>
      </c>
      <c r="AI91" s="48">
        <f t="shared" si="10"/>
        <v>1927.3400000000001</v>
      </c>
    </row>
    <row r="92" spans="1:40" ht="15.75" thickBot="1" x14ac:dyDescent="0.3">
      <c r="A92" s="73" t="s">
        <v>103</v>
      </c>
      <c r="B92" s="94">
        <f>B91-(-B99)</f>
        <v>1622.44</v>
      </c>
      <c r="C92" s="94">
        <f t="shared" ref="C92:AF92" si="14">C91-(-C99)</f>
        <v>1598.44</v>
      </c>
      <c r="D92" s="94">
        <f t="shared" si="14"/>
        <v>1535.44</v>
      </c>
      <c r="E92" s="94">
        <f t="shared" si="14"/>
        <v>1535.3400000000001</v>
      </c>
      <c r="F92" s="94">
        <f t="shared" si="14"/>
        <v>1514.44</v>
      </c>
      <c r="G92" s="94">
        <f t="shared" si="14"/>
        <v>1504.04</v>
      </c>
      <c r="H92" s="94">
        <f t="shared" si="14"/>
        <v>1930.04</v>
      </c>
      <c r="I92" s="94">
        <f t="shared" si="14"/>
        <v>1930.04</v>
      </c>
      <c r="J92" s="94">
        <f t="shared" si="14"/>
        <v>1479.04</v>
      </c>
      <c r="K92" s="94">
        <f t="shared" si="14"/>
        <v>1530.6399999999999</v>
      </c>
      <c r="L92" s="94">
        <f t="shared" si="14"/>
        <v>1520.84</v>
      </c>
      <c r="M92" s="94">
        <f t="shared" si="14"/>
        <v>1563.74</v>
      </c>
      <c r="N92" s="94">
        <f t="shared" si="14"/>
        <v>1615.8400000000001</v>
      </c>
      <c r="O92" s="94">
        <f t="shared" si="14"/>
        <v>1600.54</v>
      </c>
      <c r="P92" s="94">
        <f t="shared" si="14"/>
        <v>1615.4400000000003</v>
      </c>
      <c r="Q92" s="94">
        <f t="shared" si="14"/>
        <v>1658.6400000000003</v>
      </c>
      <c r="R92" s="94">
        <f t="shared" si="14"/>
        <v>1602.94</v>
      </c>
      <c r="S92" s="94">
        <f t="shared" si="14"/>
        <v>1612.54</v>
      </c>
      <c r="T92" s="94">
        <f t="shared" si="14"/>
        <v>1719.7399999999998</v>
      </c>
      <c r="U92" s="94">
        <f t="shared" si="14"/>
        <v>1595.2400000000002</v>
      </c>
      <c r="V92" s="94">
        <f t="shared" si="14"/>
        <v>1543.94</v>
      </c>
      <c r="W92" s="94">
        <f t="shared" si="14"/>
        <v>1522.8400000000001</v>
      </c>
      <c r="X92" s="94">
        <f t="shared" si="14"/>
        <v>1523.44</v>
      </c>
      <c r="Y92" s="94">
        <f t="shared" si="14"/>
        <v>1587.54</v>
      </c>
      <c r="Z92" s="94">
        <f t="shared" si="14"/>
        <v>1698.2399999999998</v>
      </c>
      <c r="AA92" s="94">
        <f t="shared" si="14"/>
        <v>1738.34</v>
      </c>
      <c r="AB92" s="94">
        <f t="shared" si="14"/>
        <v>1793.44</v>
      </c>
      <c r="AC92" s="94">
        <f t="shared" si="14"/>
        <v>1756.54</v>
      </c>
      <c r="AD92" s="94">
        <f t="shared" si="14"/>
        <v>1743.7400000000002</v>
      </c>
      <c r="AE92" s="94">
        <f t="shared" si="14"/>
        <v>1708.0400000000002</v>
      </c>
      <c r="AF92" s="94">
        <f t="shared" si="14"/>
        <v>1679.2400000000002</v>
      </c>
      <c r="AG92" s="87"/>
      <c r="AH92" s="47">
        <f t="shared" si="9"/>
        <v>1930.04</v>
      </c>
      <c r="AI92" s="48">
        <f t="shared" si="10"/>
        <v>1479.04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-351</v>
      </c>
      <c r="C99" s="60">
        <f t="shared" ref="C99:AF99" si="15">C75</f>
        <v>-357</v>
      </c>
      <c r="D99" s="60">
        <f t="shared" si="15"/>
        <v>-400</v>
      </c>
      <c r="E99" s="60">
        <f t="shared" si="15"/>
        <v>-392</v>
      </c>
      <c r="F99" s="60">
        <f t="shared" si="15"/>
        <v>-425</v>
      </c>
      <c r="G99" s="60">
        <f t="shared" si="15"/>
        <v>-426</v>
      </c>
      <c r="H99" s="60">
        <f t="shared" si="15"/>
        <v>0</v>
      </c>
      <c r="I99" s="60">
        <f t="shared" si="15"/>
        <v>0</v>
      </c>
      <c r="J99" s="60">
        <f t="shared" si="15"/>
        <v>-457</v>
      </c>
      <c r="K99" s="60">
        <f t="shared" si="15"/>
        <v>-454.2</v>
      </c>
      <c r="L99" s="60">
        <f t="shared" si="15"/>
        <v>-492</v>
      </c>
      <c r="M99" s="60">
        <f t="shared" si="15"/>
        <v>-451.7</v>
      </c>
      <c r="N99" s="60">
        <f t="shared" si="15"/>
        <v>-439.6</v>
      </c>
      <c r="O99" s="60">
        <f t="shared" si="15"/>
        <v>-465.1</v>
      </c>
      <c r="P99" s="60">
        <f t="shared" si="15"/>
        <v>-447.8</v>
      </c>
      <c r="Q99" s="60">
        <f t="shared" si="15"/>
        <v>-405</v>
      </c>
      <c r="R99" s="60">
        <f t="shared" si="15"/>
        <v>-459.9</v>
      </c>
      <c r="S99" s="60">
        <f t="shared" si="15"/>
        <v>-446.5</v>
      </c>
      <c r="T99" s="60">
        <f t="shared" si="15"/>
        <v>-346.4</v>
      </c>
      <c r="U99" s="60">
        <f t="shared" si="15"/>
        <v>-477.6</v>
      </c>
      <c r="V99" s="60">
        <f t="shared" si="15"/>
        <v>-519</v>
      </c>
      <c r="W99" s="60">
        <f t="shared" si="15"/>
        <v>-474</v>
      </c>
      <c r="X99" s="60">
        <f t="shared" si="15"/>
        <v>-472.1</v>
      </c>
      <c r="Y99" s="60">
        <f t="shared" si="15"/>
        <v>-466</v>
      </c>
      <c r="Z99" s="60">
        <f t="shared" si="15"/>
        <v>-371.5</v>
      </c>
      <c r="AA99" s="60">
        <f t="shared" si="15"/>
        <v>-386.2</v>
      </c>
      <c r="AB99" s="60">
        <f t="shared" si="15"/>
        <v>-361</v>
      </c>
      <c r="AC99" s="60">
        <f t="shared" si="15"/>
        <v>-342</v>
      </c>
      <c r="AD99" s="60">
        <f t="shared" si="15"/>
        <v>-320</v>
      </c>
      <c r="AE99" s="60">
        <f t="shared" si="15"/>
        <v>-320</v>
      </c>
      <c r="AF99" s="60">
        <f t="shared" si="15"/>
        <v>-310</v>
      </c>
      <c r="AG99" s="87"/>
      <c r="AH99" s="47">
        <f t="shared" si="9"/>
        <v>0</v>
      </c>
      <c r="AI99" s="48">
        <f t="shared" si="10"/>
        <v>-519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351</v>
      </c>
      <c r="C100" s="60">
        <f t="shared" si="16"/>
        <v>357</v>
      </c>
      <c r="D100" s="60">
        <f t="shared" si="16"/>
        <v>400</v>
      </c>
      <c r="E100" s="60">
        <f t="shared" si="16"/>
        <v>392</v>
      </c>
      <c r="F100" s="60">
        <f t="shared" si="16"/>
        <v>425</v>
      </c>
      <c r="G100" s="60">
        <f t="shared" si="16"/>
        <v>426</v>
      </c>
      <c r="H100" s="60">
        <f t="shared" si="16"/>
        <v>0</v>
      </c>
      <c r="I100" s="60">
        <f t="shared" si="16"/>
        <v>0</v>
      </c>
      <c r="J100" s="60">
        <f t="shared" si="16"/>
        <v>457</v>
      </c>
      <c r="K100" s="60">
        <f t="shared" si="16"/>
        <v>454.2</v>
      </c>
      <c r="L100" s="60">
        <f t="shared" si="16"/>
        <v>492</v>
      </c>
      <c r="M100" s="60">
        <f t="shared" si="16"/>
        <v>451.7</v>
      </c>
      <c r="N100" s="60">
        <f t="shared" si="16"/>
        <v>439.6</v>
      </c>
      <c r="O100" s="60">
        <f t="shared" si="16"/>
        <v>465.1</v>
      </c>
      <c r="P100" s="60">
        <f t="shared" si="16"/>
        <v>447.8</v>
      </c>
      <c r="Q100" s="60">
        <f t="shared" si="16"/>
        <v>405</v>
      </c>
      <c r="R100" s="60">
        <f t="shared" si="16"/>
        <v>459.9</v>
      </c>
      <c r="S100" s="60">
        <f t="shared" si="16"/>
        <v>446.5</v>
      </c>
      <c r="T100" s="60">
        <f t="shared" si="16"/>
        <v>355.4</v>
      </c>
      <c r="U100" s="60">
        <f t="shared" si="16"/>
        <v>477.6</v>
      </c>
      <c r="V100" s="60">
        <f t="shared" si="16"/>
        <v>519</v>
      </c>
      <c r="W100" s="60">
        <f t="shared" si="16"/>
        <v>474</v>
      </c>
      <c r="X100" s="60">
        <f t="shared" si="16"/>
        <v>472.1</v>
      </c>
      <c r="Y100" s="60">
        <f t="shared" si="16"/>
        <v>466</v>
      </c>
      <c r="Z100" s="60">
        <f t="shared" si="16"/>
        <v>371.5</v>
      </c>
      <c r="AA100" s="60">
        <f t="shared" si="16"/>
        <v>386.2</v>
      </c>
      <c r="AB100" s="60">
        <f t="shared" si="16"/>
        <v>361</v>
      </c>
      <c r="AC100" s="60">
        <f t="shared" si="16"/>
        <v>342</v>
      </c>
      <c r="AD100" s="60">
        <f t="shared" si="16"/>
        <v>320</v>
      </c>
      <c r="AE100" s="60">
        <f t="shared" si="16"/>
        <v>320</v>
      </c>
      <c r="AF100" s="60">
        <f t="shared" si="16"/>
        <v>310</v>
      </c>
      <c r="AG100" s="87"/>
      <c r="AH100" s="47">
        <f t="shared" si="9"/>
        <v>519</v>
      </c>
      <c r="AI100" s="48">
        <f t="shared" si="10"/>
        <v>0</v>
      </c>
    </row>
    <row r="101" spans="1:37" x14ac:dyDescent="0.25">
      <c r="A101" s="99" t="s">
        <v>109</v>
      </c>
      <c r="B101" s="100">
        <v>50.030999999999999</v>
      </c>
      <c r="C101" s="100">
        <v>50.01</v>
      </c>
      <c r="D101" s="100">
        <v>49.957000000000001</v>
      </c>
      <c r="E101" s="100">
        <v>49.991</v>
      </c>
      <c r="F101" s="100">
        <v>50.017000000000003</v>
      </c>
      <c r="G101" s="100">
        <v>50.031999999999996</v>
      </c>
      <c r="H101" s="100">
        <v>50.031999999999996</v>
      </c>
      <c r="I101" s="100">
        <v>50.031999999999996</v>
      </c>
      <c r="J101" s="100">
        <v>50.031999999999996</v>
      </c>
      <c r="K101" s="100">
        <v>50.031999999999996</v>
      </c>
      <c r="L101" s="100">
        <v>50.033999999999999</v>
      </c>
      <c r="M101" s="100">
        <v>50.064999999999998</v>
      </c>
      <c r="N101" s="100">
        <v>50.064999999999998</v>
      </c>
      <c r="O101" s="100">
        <v>49.987000000000002</v>
      </c>
      <c r="P101" s="100">
        <v>49.984999999999999</v>
      </c>
      <c r="Q101" s="100">
        <v>49.996000000000002</v>
      </c>
      <c r="R101" s="100">
        <v>50.06</v>
      </c>
      <c r="S101" s="100">
        <v>49.999000000000002</v>
      </c>
      <c r="T101" s="100">
        <v>49.62</v>
      </c>
      <c r="U101" s="100">
        <v>49.768999999999998</v>
      </c>
      <c r="V101" s="100">
        <v>49.996000000000002</v>
      </c>
      <c r="W101" s="100">
        <v>49.981000000000002</v>
      </c>
      <c r="X101" s="100">
        <v>49.838999999999999</v>
      </c>
      <c r="Y101" s="100">
        <v>49.691000000000003</v>
      </c>
      <c r="Z101" s="100">
        <v>49</v>
      </c>
      <c r="AA101" s="100">
        <v>49.819000000000003</v>
      </c>
      <c r="AB101" s="100">
        <v>50</v>
      </c>
      <c r="AC101" s="100">
        <v>50.01</v>
      </c>
      <c r="AD101" s="100">
        <v>50.05</v>
      </c>
      <c r="AE101" s="100">
        <v>50</v>
      </c>
      <c r="AF101" s="100">
        <v>49.91</v>
      </c>
      <c r="AG101" s="101"/>
      <c r="AH101" s="47">
        <f t="shared" si="9"/>
        <v>50.064999999999998</v>
      </c>
      <c r="AI101" s="48">
        <f t="shared" si="10"/>
        <v>49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128.5</v>
      </c>
      <c r="C103" s="64">
        <v>130.30000000000001</v>
      </c>
      <c r="D103" s="64">
        <v>130</v>
      </c>
      <c r="E103" s="64">
        <v>129.80000000000001</v>
      </c>
      <c r="F103" s="64">
        <v>131.1</v>
      </c>
      <c r="G103" s="64">
        <v>129.80000000000001</v>
      </c>
      <c r="H103" s="64">
        <v>129.80000000000001</v>
      </c>
      <c r="I103" s="64">
        <v>129.80000000000001</v>
      </c>
      <c r="J103" s="64">
        <v>129.80000000000001</v>
      </c>
      <c r="K103" s="64">
        <v>129.80000000000001</v>
      </c>
      <c r="L103" s="64">
        <v>125.6</v>
      </c>
      <c r="M103" s="64">
        <v>124.9</v>
      </c>
      <c r="N103" s="64">
        <v>124.4</v>
      </c>
      <c r="O103" s="64">
        <v>124.9</v>
      </c>
      <c r="P103" s="64">
        <v>126.1</v>
      </c>
      <c r="Q103" s="64">
        <v>125.3</v>
      </c>
      <c r="R103" s="64">
        <v>126.6</v>
      </c>
      <c r="S103" s="64">
        <v>124.9</v>
      </c>
      <c r="T103" s="64">
        <v>126.6</v>
      </c>
      <c r="U103" s="64">
        <v>126.1</v>
      </c>
      <c r="V103" s="64">
        <v>128.19999999999999</v>
      </c>
      <c r="W103" s="64">
        <v>129.19999999999999</v>
      </c>
      <c r="X103" s="64">
        <v>128.9</v>
      </c>
      <c r="Y103" s="64">
        <v>126.7</v>
      </c>
      <c r="Z103" s="64">
        <v>127.1</v>
      </c>
      <c r="AA103" s="64">
        <v>126.5</v>
      </c>
      <c r="AB103" s="64">
        <v>126.5</v>
      </c>
      <c r="AC103" s="64">
        <v>127.5</v>
      </c>
      <c r="AD103" s="64">
        <v>127.5</v>
      </c>
      <c r="AE103" s="64">
        <v>127.5</v>
      </c>
      <c r="AF103" s="64">
        <v>127.5</v>
      </c>
      <c r="AG103" s="103"/>
      <c r="AH103" s="47">
        <f t="shared" si="9"/>
        <v>131.1</v>
      </c>
      <c r="AI103" s="48">
        <f t="shared" si="10"/>
        <v>124.4</v>
      </c>
    </row>
    <row r="104" spans="1:37" x14ac:dyDescent="0.25">
      <c r="A104" s="102" t="s">
        <v>112</v>
      </c>
      <c r="B104" s="64">
        <v>130.69999999999999</v>
      </c>
      <c r="C104" s="64">
        <v>130.30000000000001</v>
      </c>
      <c r="D104" s="64">
        <v>130.1</v>
      </c>
      <c r="E104" s="64">
        <v>130.4</v>
      </c>
      <c r="F104" s="64">
        <v>130.69999999999999</v>
      </c>
      <c r="G104" s="64">
        <v>129.30000000000001</v>
      </c>
      <c r="H104" s="64">
        <v>129.30000000000001</v>
      </c>
      <c r="I104" s="64">
        <v>129.30000000000001</v>
      </c>
      <c r="J104" s="64">
        <v>129.30000000000001</v>
      </c>
      <c r="K104" s="64">
        <v>129.30000000000001</v>
      </c>
      <c r="L104" s="64">
        <v>130.19999999999999</v>
      </c>
      <c r="M104" s="64">
        <v>128.19999999999999</v>
      </c>
      <c r="N104" s="64">
        <v>124.6</v>
      </c>
      <c r="O104" s="64">
        <v>128.19999999999999</v>
      </c>
      <c r="P104" s="64">
        <v>127.9</v>
      </c>
      <c r="Q104" s="64">
        <v>128.69999999999999</v>
      </c>
      <c r="R104" s="64">
        <v>129.4</v>
      </c>
      <c r="S104" s="64">
        <v>125.8</v>
      </c>
      <c r="T104" s="64">
        <v>127.5</v>
      </c>
      <c r="U104" s="64">
        <v>128.69999999999999</v>
      </c>
      <c r="V104" s="64">
        <v>129.69999999999999</v>
      </c>
      <c r="W104" s="64">
        <v>130.4</v>
      </c>
      <c r="X104" s="64">
        <v>128.9</v>
      </c>
      <c r="Y104" s="64">
        <v>127.5</v>
      </c>
      <c r="Z104" s="64">
        <v>129.5</v>
      </c>
      <c r="AA104" s="64">
        <v>127.5</v>
      </c>
      <c r="AB104" s="64">
        <v>127.5</v>
      </c>
      <c r="AC104" s="64">
        <v>126.6</v>
      </c>
      <c r="AD104" s="64">
        <v>126.6</v>
      </c>
      <c r="AE104" s="64">
        <v>126.6</v>
      </c>
      <c r="AF104" s="64">
        <v>126.6</v>
      </c>
      <c r="AG104" s="103"/>
      <c r="AH104" s="47">
        <f t="shared" si="9"/>
        <v>130.69999999999999</v>
      </c>
      <c r="AI104" s="48">
        <f t="shared" si="10"/>
        <v>124.6</v>
      </c>
    </row>
    <row r="105" spans="1:37" x14ac:dyDescent="0.25">
      <c r="A105" s="104" t="s">
        <v>113</v>
      </c>
      <c r="B105" s="64">
        <v>133.80000000000001</v>
      </c>
      <c r="C105" s="64">
        <v>133.69999999999999</v>
      </c>
      <c r="D105" s="64">
        <v>133.6</v>
      </c>
      <c r="E105" s="64">
        <v>134.4</v>
      </c>
      <c r="F105" s="64">
        <v>133.30000000000001</v>
      </c>
      <c r="G105" s="64">
        <v>133.5</v>
      </c>
      <c r="H105" s="64">
        <v>133.5</v>
      </c>
      <c r="I105" s="64">
        <v>133.5</v>
      </c>
      <c r="J105" s="64">
        <v>133.5</v>
      </c>
      <c r="K105" s="64">
        <v>133.5</v>
      </c>
      <c r="L105" s="64">
        <v>129.5</v>
      </c>
      <c r="M105" s="64">
        <v>132</v>
      </c>
      <c r="N105" s="64">
        <v>127.5</v>
      </c>
      <c r="O105" s="64">
        <v>130.19999999999999</v>
      </c>
      <c r="P105" s="64">
        <v>129.1</v>
      </c>
      <c r="Q105" s="64">
        <v>130.19999999999999</v>
      </c>
      <c r="R105" s="64">
        <v>131.9</v>
      </c>
      <c r="S105" s="64">
        <v>127.8</v>
      </c>
      <c r="T105" s="64">
        <v>130.1</v>
      </c>
      <c r="U105" s="64">
        <v>131.6</v>
      </c>
      <c r="V105" s="64">
        <v>132.80000000000001</v>
      </c>
      <c r="W105" s="64">
        <v>133</v>
      </c>
      <c r="X105" s="64">
        <v>132.19999999999999</v>
      </c>
      <c r="Y105" s="64">
        <v>129</v>
      </c>
      <c r="Z105" s="64">
        <v>131.69999999999999</v>
      </c>
      <c r="AA105" s="64">
        <v>129.9</v>
      </c>
      <c r="AB105" s="64">
        <v>129.9</v>
      </c>
      <c r="AC105" s="64">
        <v>129.5</v>
      </c>
      <c r="AD105" s="64">
        <v>129.5</v>
      </c>
      <c r="AE105" s="64">
        <v>129.5</v>
      </c>
      <c r="AF105" s="64">
        <v>129.5</v>
      </c>
      <c r="AG105" s="103"/>
      <c r="AH105" s="47">
        <f t="shared" si="9"/>
        <v>134.4</v>
      </c>
      <c r="AI105" s="48">
        <f t="shared" si="10"/>
        <v>127.5</v>
      </c>
    </row>
    <row r="106" spans="1:37" x14ac:dyDescent="0.25">
      <c r="A106" s="104" t="s">
        <v>114</v>
      </c>
      <c r="B106" s="105">
        <v>130.30000000000001</v>
      </c>
      <c r="C106" s="105">
        <v>134.1</v>
      </c>
      <c r="D106" s="105">
        <v>133.5</v>
      </c>
      <c r="E106" s="105">
        <v>134.1</v>
      </c>
      <c r="F106" s="105">
        <v>135.5</v>
      </c>
      <c r="G106" s="105">
        <v>131.6</v>
      </c>
      <c r="H106" s="105">
        <v>131.6</v>
      </c>
      <c r="I106" s="105">
        <v>131.6</v>
      </c>
      <c r="J106" s="105">
        <v>131.6</v>
      </c>
      <c r="K106" s="105">
        <v>131.6</v>
      </c>
      <c r="L106" s="105">
        <v>132.6</v>
      </c>
      <c r="M106" s="105">
        <v>132.9</v>
      </c>
      <c r="N106" s="105">
        <v>129.9</v>
      </c>
      <c r="O106" s="105">
        <v>130</v>
      </c>
      <c r="P106" s="105">
        <v>130.69999999999999</v>
      </c>
      <c r="Q106" s="105">
        <v>132.1</v>
      </c>
      <c r="R106" s="105">
        <v>132.5</v>
      </c>
      <c r="S106" s="105">
        <v>128.9</v>
      </c>
      <c r="T106" s="105">
        <v>131.6</v>
      </c>
      <c r="U106" s="105">
        <v>130.4</v>
      </c>
      <c r="V106" s="105">
        <v>134</v>
      </c>
      <c r="W106" s="105">
        <v>134.6</v>
      </c>
      <c r="X106" s="105">
        <v>131.6</v>
      </c>
      <c r="Y106" s="105">
        <v>132</v>
      </c>
      <c r="Z106" s="105">
        <v>131.69999999999999</v>
      </c>
      <c r="AA106" s="105">
        <v>131</v>
      </c>
      <c r="AB106" s="105">
        <v>131</v>
      </c>
      <c r="AC106" s="105">
        <v>133.5</v>
      </c>
      <c r="AD106" s="105">
        <v>133.5</v>
      </c>
      <c r="AE106" s="105">
        <v>133.5</v>
      </c>
      <c r="AF106" s="105">
        <v>133.5</v>
      </c>
      <c r="AG106" s="106"/>
      <c r="AH106" s="47">
        <f t="shared" si="9"/>
        <v>135.5</v>
      </c>
      <c r="AI106" s="48">
        <f t="shared" si="10"/>
        <v>128.9</v>
      </c>
    </row>
    <row r="107" spans="1:37" x14ac:dyDescent="0.25">
      <c r="A107" s="102" t="s">
        <v>115</v>
      </c>
      <c r="B107" s="64">
        <v>127.3</v>
      </c>
      <c r="C107" s="64">
        <v>126.1</v>
      </c>
      <c r="D107" s="64">
        <v>134.4</v>
      </c>
      <c r="E107" s="64">
        <v>132.6</v>
      </c>
      <c r="F107" s="64">
        <v>132.19999999999999</v>
      </c>
      <c r="G107" s="64">
        <v>131.69999999999999</v>
      </c>
      <c r="H107" s="64">
        <v>131.69999999999999</v>
      </c>
      <c r="I107" s="64">
        <v>131.69999999999999</v>
      </c>
      <c r="J107" s="64">
        <v>131.69999999999999</v>
      </c>
      <c r="K107" s="64">
        <v>131.69999999999999</v>
      </c>
      <c r="L107" s="64">
        <v>131.5</v>
      </c>
      <c r="M107" s="64">
        <v>131.6</v>
      </c>
      <c r="N107" s="64">
        <v>130.69999999999999</v>
      </c>
      <c r="O107" s="64">
        <v>127</v>
      </c>
      <c r="P107" s="64">
        <v>126.3</v>
      </c>
      <c r="Q107" s="64">
        <v>125.6</v>
      </c>
      <c r="R107" s="64">
        <v>132.19999999999999</v>
      </c>
      <c r="S107" s="64">
        <v>129.9</v>
      </c>
      <c r="T107" s="64">
        <v>130</v>
      </c>
      <c r="U107" s="64">
        <v>127.7</v>
      </c>
      <c r="V107" s="64">
        <v>134</v>
      </c>
      <c r="W107" s="64">
        <v>129.6</v>
      </c>
      <c r="X107" s="64">
        <v>134.5</v>
      </c>
      <c r="Y107" s="64">
        <v>132.4</v>
      </c>
      <c r="Z107" s="64">
        <v>130</v>
      </c>
      <c r="AA107" s="64">
        <v>124.6</v>
      </c>
      <c r="AB107" s="64">
        <v>124.6</v>
      </c>
      <c r="AC107" s="64">
        <v>132</v>
      </c>
      <c r="AD107" s="64">
        <v>132</v>
      </c>
      <c r="AE107" s="64">
        <v>132</v>
      </c>
      <c r="AF107" s="64">
        <v>132</v>
      </c>
      <c r="AG107" s="103"/>
      <c r="AH107" s="47">
        <f t="shared" si="9"/>
        <v>134.5</v>
      </c>
      <c r="AI107" s="48">
        <f t="shared" si="10"/>
        <v>124.6</v>
      </c>
    </row>
    <row r="108" spans="1:37" ht="15.75" thickBot="1" x14ac:dyDescent="0.3">
      <c r="A108" s="102" t="s">
        <v>116</v>
      </c>
      <c r="B108" s="91">
        <v>64.8</v>
      </c>
      <c r="C108" s="91">
        <v>65.7</v>
      </c>
      <c r="D108" s="91">
        <v>65.599999999999994</v>
      </c>
      <c r="E108" s="91">
        <v>65.400000000000006</v>
      </c>
      <c r="F108" s="91">
        <v>66</v>
      </c>
      <c r="G108" s="91">
        <v>65.3</v>
      </c>
      <c r="H108" s="91">
        <v>65.3</v>
      </c>
      <c r="I108" s="91">
        <v>65.3</v>
      </c>
      <c r="J108" s="91">
        <v>65.3</v>
      </c>
      <c r="K108" s="91">
        <v>65.3</v>
      </c>
      <c r="L108" s="91">
        <v>63.2</v>
      </c>
      <c r="M108" s="91">
        <v>63</v>
      </c>
      <c r="N108" s="91">
        <v>62.5</v>
      </c>
      <c r="O108" s="91">
        <v>62.6</v>
      </c>
      <c r="P108" s="91">
        <v>63.5</v>
      </c>
      <c r="Q108" s="91">
        <v>62.8</v>
      </c>
      <c r="R108" s="91">
        <v>63.5</v>
      </c>
      <c r="S108" s="91">
        <v>62.9</v>
      </c>
      <c r="T108" s="91">
        <v>63.6</v>
      </c>
      <c r="U108" s="91">
        <v>63</v>
      </c>
      <c r="V108" s="91">
        <v>64.400000000000006</v>
      </c>
      <c r="W108" s="91">
        <v>65</v>
      </c>
      <c r="X108" s="91">
        <v>65</v>
      </c>
      <c r="Y108" s="91">
        <v>63.9</v>
      </c>
      <c r="Z108" s="91">
        <v>64.099999999999994</v>
      </c>
      <c r="AA108" s="91">
        <v>64</v>
      </c>
      <c r="AB108" s="91">
        <v>64</v>
      </c>
      <c r="AC108" s="91">
        <v>64.599999999999994</v>
      </c>
      <c r="AD108" s="91">
        <v>64.599999999999994</v>
      </c>
      <c r="AE108" s="91">
        <v>64.599999999999994</v>
      </c>
      <c r="AF108" s="91">
        <v>64.599999999999994</v>
      </c>
      <c r="AG108" s="107"/>
      <c r="AH108" s="47">
        <f t="shared" si="9"/>
        <v>66</v>
      </c>
      <c r="AI108" s="48">
        <f t="shared" si="10"/>
        <v>62.5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32.900000000000013</v>
      </c>
      <c r="C110" s="110">
        <f t="shared" si="17"/>
        <v>47.64</v>
      </c>
      <c r="D110" s="110">
        <f t="shared" si="17"/>
        <v>31.440000000000015</v>
      </c>
      <c r="E110" s="110">
        <f t="shared" si="17"/>
        <v>29.640000000000011</v>
      </c>
      <c r="F110" s="110">
        <f t="shared" si="17"/>
        <v>41.240000000000009</v>
      </c>
      <c r="G110" s="110">
        <f t="shared" si="17"/>
        <v>47.339999999999989</v>
      </c>
      <c r="H110" s="110">
        <f t="shared" si="17"/>
        <v>60.739999999999981</v>
      </c>
      <c r="I110" s="110">
        <f t="shared" si="17"/>
        <v>331.03999999999996</v>
      </c>
      <c r="J110" s="110">
        <f t="shared" si="17"/>
        <v>112.74000000000001</v>
      </c>
      <c r="K110" s="110">
        <f t="shared" si="17"/>
        <v>122.64000000000003</v>
      </c>
      <c r="L110" s="110">
        <f t="shared" si="17"/>
        <v>160.44</v>
      </c>
      <c r="M110" s="110">
        <f t="shared" si="17"/>
        <v>178.94</v>
      </c>
      <c r="N110" s="110">
        <f t="shared" si="17"/>
        <v>173.04</v>
      </c>
      <c r="O110" s="110">
        <f t="shared" si="17"/>
        <v>193.14000000000001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189.6</v>
      </c>
      <c r="R110" s="110">
        <f t="shared" si="18"/>
        <v>178.10000000000005</v>
      </c>
      <c r="S110" s="110">
        <f t="shared" si="18"/>
        <v>171.20000000000005</v>
      </c>
      <c r="T110" s="110">
        <f t="shared" si="18"/>
        <v>176.39999999999998</v>
      </c>
      <c r="U110" s="110">
        <f t="shared" si="18"/>
        <v>169.5</v>
      </c>
      <c r="V110" s="110">
        <f t="shared" si="18"/>
        <v>175.9</v>
      </c>
      <c r="W110" s="110">
        <f t="shared" si="18"/>
        <v>177</v>
      </c>
      <c r="X110" s="110">
        <f t="shared" si="18"/>
        <v>181.09999999999997</v>
      </c>
      <c r="Y110" s="110">
        <f t="shared" si="18"/>
        <v>206.69000000000003</v>
      </c>
      <c r="Z110" s="110">
        <f t="shared" si="18"/>
        <v>221.59999999999997</v>
      </c>
      <c r="AA110" s="110">
        <f t="shared" si="18"/>
        <v>232.89999999999998</v>
      </c>
      <c r="AB110" s="110">
        <f t="shared" si="18"/>
        <v>214.79999999999995</v>
      </c>
      <c r="AC110" s="110">
        <f t="shared" si="18"/>
        <v>186.2</v>
      </c>
      <c r="AD110" s="110"/>
      <c r="AE110" s="110">
        <f t="shared" si="18"/>
        <v>103.19999999999999</v>
      </c>
      <c r="AF110" s="110">
        <f t="shared" si="18"/>
        <v>58.199999999999989</v>
      </c>
      <c r="AG110" s="111"/>
      <c r="AH110" s="47">
        <f t="shared" si="9"/>
        <v>331.03999999999996</v>
      </c>
      <c r="AI110" s="48">
        <f t="shared" si="10"/>
        <v>29.640000000000011</v>
      </c>
    </row>
    <row r="111" spans="1:37" x14ac:dyDescent="0.25">
      <c r="A111" s="99" t="s">
        <v>119</v>
      </c>
      <c r="B111" s="112">
        <v>9.8000000000000007</v>
      </c>
      <c r="C111" s="112">
        <v>9.5</v>
      </c>
      <c r="D111" s="112">
        <v>11.5</v>
      </c>
      <c r="E111" s="112">
        <v>12.6</v>
      </c>
      <c r="F111" s="112">
        <v>13.9</v>
      </c>
      <c r="G111" s="112">
        <v>16.5</v>
      </c>
      <c r="H111" s="112">
        <v>21.1</v>
      </c>
      <c r="I111" s="112">
        <v>29.1</v>
      </c>
      <c r="J111" s="112">
        <v>29.1</v>
      </c>
      <c r="K111" s="112">
        <v>35.700000000000003</v>
      </c>
      <c r="L111" s="112">
        <v>44</v>
      </c>
      <c r="M111" s="112">
        <v>43.9</v>
      </c>
      <c r="N111" s="112">
        <v>45.5</v>
      </c>
      <c r="O111" s="112">
        <v>44.6</v>
      </c>
      <c r="P111" s="112">
        <v>42.7</v>
      </c>
      <c r="Q111" s="112">
        <v>41.6</v>
      </c>
      <c r="R111" s="112">
        <v>40.200000000000003</v>
      </c>
      <c r="S111" s="112">
        <v>38.700000000000003</v>
      </c>
      <c r="T111" s="112">
        <v>23.2</v>
      </c>
      <c r="U111" s="112">
        <v>38.1</v>
      </c>
      <c r="V111" s="112">
        <v>31.7</v>
      </c>
      <c r="W111" s="112">
        <v>33.9</v>
      </c>
      <c r="X111" s="112">
        <v>34.299999999999997</v>
      </c>
      <c r="Y111" s="112">
        <v>46.69</v>
      </c>
      <c r="Z111" s="112">
        <v>38</v>
      </c>
      <c r="AA111" s="112">
        <v>44.9</v>
      </c>
      <c r="AB111" s="112">
        <v>40</v>
      </c>
      <c r="AC111" s="112">
        <v>40</v>
      </c>
      <c r="AD111" s="112">
        <v>29</v>
      </c>
      <c r="AE111" s="112">
        <v>20</v>
      </c>
      <c r="AF111" s="112">
        <v>14</v>
      </c>
      <c r="AG111" s="113">
        <v>75</v>
      </c>
      <c r="AH111" s="47">
        <f t="shared" si="9"/>
        <v>46.69</v>
      </c>
      <c r="AI111" s="48">
        <f t="shared" si="10"/>
        <v>9.5</v>
      </c>
    </row>
    <row r="112" spans="1:37" x14ac:dyDescent="0.25">
      <c r="A112" s="102" t="s">
        <v>120</v>
      </c>
      <c r="B112" s="114">
        <v>12.5</v>
      </c>
      <c r="C112" s="114">
        <v>12.5</v>
      </c>
      <c r="D112" s="114">
        <v>15.8</v>
      </c>
      <c r="E112" s="114">
        <v>16.899999999999999</v>
      </c>
      <c r="F112" s="114">
        <v>19</v>
      </c>
      <c r="G112" s="114">
        <v>22</v>
      </c>
      <c r="H112" s="114">
        <v>27.7</v>
      </c>
      <c r="I112" s="114">
        <v>37.799999999999997</v>
      </c>
      <c r="J112" s="114">
        <v>37.799999999999997</v>
      </c>
      <c r="K112" s="114">
        <v>46.8</v>
      </c>
      <c r="L112" s="114">
        <v>50.6</v>
      </c>
      <c r="M112" s="114">
        <v>59.2</v>
      </c>
      <c r="N112" s="114">
        <v>60.2</v>
      </c>
      <c r="O112" s="114">
        <v>59.4</v>
      </c>
      <c r="P112" s="114">
        <v>58</v>
      </c>
      <c r="Q112" s="114">
        <v>55.2</v>
      </c>
      <c r="R112" s="114">
        <v>54.3</v>
      </c>
      <c r="S112" s="114">
        <v>52.8</v>
      </c>
      <c r="T112" s="114">
        <v>30</v>
      </c>
      <c r="U112" s="114">
        <v>52.6</v>
      </c>
      <c r="V112" s="114">
        <v>43.9</v>
      </c>
      <c r="W112" s="114">
        <v>44.6</v>
      </c>
      <c r="X112" s="114">
        <v>45.2</v>
      </c>
      <c r="Y112" s="114">
        <v>62.9</v>
      </c>
      <c r="Z112" s="114">
        <v>51.9</v>
      </c>
      <c r="AA112" s="114">
        <v>67.099999999999994</v>
      </c>
      <c r="AB112" s="114">
        <v>58</v>
      </c>
      <c r="AC112" s="114">
        <v>56</v>
      </c>
      <c r="AD112" s="114">
        <v>40</v>
      </c>
      <c r="AE112" s="114">
        <v>30</v>
      </c>
      <c r="AF112" s="114">
        <v>17</v>
      </c>
      <c r="AG112" s="113">
        <v>240</v>
      </c>
      <c r="AH112" s="47">
        <f t="shared" si="9"/>
        <v>67.099999999999994</v>
      </c>
      <c r="AI112" s="48">
        <f t="shared" si="10"/>
        <v>12.5</v>
      </c>
    </row>
    <row r="113" spans="1:37" x14ac:dyDescent="0.25">
      <c r="A113" s="102" t="s">
        <v>121</v>
      </c>
      <c r="B113" s="114">
        <v>-143</v>
      </c>
      <c r="C113" s="114">
        <v>-130</v>
      </c>
      <c r="D113" s="114">
        <v>-150</v>
      </c>
      <c r="E113" s="114">
        <v>-144.5</v>
      </c>
      <c r="F113" s="114">
        <v>-135.69999999999999</v>
      </c>
      <c r="G113" s="114">
        <v>-138</v>
      </c>
      <c r="H113" s="114">
        <v>-134.5</v>
      </c>
      <c r="I113" s="114">
        <v>109.2</v>
      </c>
      <c r="J113" s="114">
        <v>-109.1</v>
      </c>
      <c r="K113" s="114">
        <v>-114.6</v>
      </c>
      <c r="L113" s="114">
        <v>-104</v>
      </c>
      <c r="M113" s="114">
        <f>-46-49</f>
        <v>-95</v>
      </c>
      <c r="N113" s="114">
        <f>-55-59</f>
        <v>-114</v>
      </c>
      <c r="O113" s="114">
        <f>-51.2-54</f>
        <v>-105.2</v>
      </c>
      <c r="P113" s="114">
        <f>-54-58</f>
        <v>-112</v>
      </c>
      <c r="Q113" s="114">
        <f>-51-54</f>
        <v>-105</v>
      </c>
      <c r="R113" s="114">
        <f>-56-59</f>
        <v>-115</v>
      </c>
      <c r="S113" s="114">
        <f>-58.3-62.3</f>
        <v>-120.6</v>
      </c>
      <c r="T113" s="114">
        <v>-78</v>
      </c>
      <c r="U113" s="114">
        <v>-123</v>
      </c>
      <c r="V113" s="114">
        <v>-90.1</v>
      </c>
      <c r="W113" s="114">
        <f>-37.1-36.1</f>
        <v>-73.2</v>
      </c>
      <c r="X113" s="114">
        <f>-33.6-36.3</f>
        <v>-69.900000000000006</v>
      </c>
      <c r="Y113" s="114">
        <v>-89</v>
      </c>
      <c r="Z113" s="114">
        <v>-83.7</v>
      </c>
      <c r="AA113" s="114">
        <v>-100</v>
      </c>
      <c r="AB113" s="114">
        <v>-112</v>
      </c>
      <c r="AC113" s="114">
        <v>-105</v>
      </c>
      <c r="AD113" s="114">
        <v>-106</v>
      </c>
      <c r="AE113" s="114">
        <v>-110</v>
      </c>
      <c r="AF113" s="114">
        <v>-115</v>
      </c>
      <c r="AG113" s="113">
        <v>240</v>
      </c>
      <c r="AH113" s="47">
        <f t="shared" si="9"/>
        <v>109.2</v>
      </c>
      <c r="AI113" s="48">
        <f t="shared" si="10"/>
        <v>-150</v>
      </c>
    </row>
    <row r="114" spans="1:37" x14ac:dyDescent="0.25">
      <c r="A114" s="102" t="s">
        <v>122</v>
      </c>
      <c r="B114" s="114">
        <v>-1.7</v>
      </c>
      <c r="C114" s="114">
        <v>-0.6</v>
      </c>
      <c r="D114" s="114">
        <v>-2.1</v>
      </c>
      <c r="E114" s="114">
        <v>-1.9</v>
      </c>
      <c r="F114" s="114">
        <v>-2.2999999999999998</v>
      </c>
      <c r="G114" s="114">
        <v>0.6</v>
      </c>
      <c r="H114" s="114">
        <v>0.2</v>
      </c>
      <c r="I114" s="114">
        <v>8.6999999999999993</v>
      </c>
      <c r="J114" s="114">
        <v>8.6999999999999993</v>
      </c>
      <c r="K114" s="114">
        <v>8.5</v>
      </c>
      <c r="L114" s="114">
        <v>11.8</v>
      </c>
      <c r="M114" s="114">
        <v>10.8</v>
      </c>
      <c r="N114" s="114">
        <v>7.1</v>
      </c>
      <c r="O114" s="114">
        <v>9.9</v>
      </c>
      <c r="P114" s="114">
        <v>10.8</v>
      </c>
      <c r="Q114" s="114">
        <v>8.6</v>
      </c>
      <c r="R114" s="114">
        <v>9.4</v>
      </c>
      <c r="S114" s="114">
        <v>7.5</v>
      </c>
      <c r="T114" s="114">
        <v>10.199999999999999</v>
      </c>
      <c r="U114" s="114">
        <v>5.9</v>
      </c>
      <c r="V114" s="114">
        <v>7.3</v>
      </c>
      <c r="W114" s="114">
        <v>10.9</v>
      </c>
      <c r="X114" s="114">
        <v>13</v>
      </c>
      <c r="Y114" s="114">
        <v>12.5</v>
      </c>
      <c r="Z114" s="114">
        <v>15.6</v>
      </c>
      <c r="AA114" s="114">
        <v>10.8</v>
      </c>
      <c r="AB114" s="114">
        <v>9</v>
      </c>
      <c r="AC114" s="114">
        <v>9</v>
      </c>
      <c r="AD114" s="114">
        <v>7</v>
      </c>
      <c r="AE114" s="114">
        <v>0</v>
      </c>
      <c r="AF114" s="114">
        <v>0</v>
      </c>
      <c r="AG114" s="113">
        <v>60</v>
      </c>
      <c r="AH114" s="47">
        <f t="shared" si="9"/>
        <v>15.6</v>
      </c>
      <c r="AI114" s="48">
        <f t="shared" si="10"/>
        <v>-2.2999999999999998</v>
      </c>
    </row>
    <row r="115" spans="1:37" x14ac:dyDescent="0.25">
      <c r="A115" s="115" t="s">
        <v>123</v>
      </c>
      <c r="B115" s="116">
        <v>21.3</v>
      </c>
      <c r="C115" s="116">
        <v>21.3</v>
      </c>
      <c r="D115" s="116">
        <v>21.3</v>
      </c>
      <c r="E115" s="116">
        <v>21.3</v>
      </c>
      <c r="F115" s="116">
        <v>21.3</v>
      </c>
      <c r="G115" s="116">
        <v>21.2</v>
      </c>
      <c r="H115" s="116">
        <v>21.2</v>
      </c>
      <c r="I115" s="116">
        <v>21.2</v>
      </c>
      <c r="J115" s="116">
        <v>21.2</v>
      </c>
      <c r="K115" s="116">
        <v>21.2</v>
      </c>
      <c r="L115" s="116">
        <v>21.2</v>
      </c>
      <c r="M115" s="116">
        <v>21.2</v>
      </c>
      <c r="N115" s="116">
        <v>21.3</v>
      </c>
      <c r="O115" s="116">
        <v>21.3</v>
      </c>
      <c r="P115" s="116">
        <v>25.3</v>
      </c>
      <c r="Q115" s="116">
        <v>25.3</v>
      </c>
      <c r="R115" s="116">
        <v>25.3</v>
      </c>
      <c r="S115" s="116">
        <v>37.9</v>
      </c>
      <c r="T115" s="116">
        <v>38.1</v>
      </c>
      <c r="U115" s="116">
        <v>39.6</v>
      </c>
      <c r="V115" s="116">
        <v>39.6</v>
      </c>
      <c r="W115" s="116">
        <v>25.9</v>
      </c>
      <c r="X115" s="116">
        <v>25.9</v>
      </c>
      <c r="Y115" s="116">
        <v>25.9</v>
      </c>
      <c r="Z115" s="116">
        <v>46.6</v>
      </c>
      <c r="AA115" s="116">
        <v>53.8</v>
      </c>
      <c r="AB115" s="116">
        <v>45</v>
      </c>
      <c r="AC115" s="116">
        <v>26</v>
      </c>
      <c r="AD115" s="116">
        <v>26</v>
      </c>
      <c r="AE115" s="116">
        <v>10</v>
      </c>
      <c r="AF115" s="116">
        <v>0</v>
      </c>
      <c r="AG115" s="117">
        <v>120</v>
      </c>
      <c r="AH115" s="47">
        <f t="shared" si="9"/>
        <v>53.8</v>
      </c>
      <c r="AI115" s="48">
        <f t="shared" si="10"/>
        <v>0</v>
      </c>
    </row>
    <row r="116" spans="1:37" x14ac:dyDescent="0.25">
      <c r="A116" s="115" t="s">
        <v>124</v>
      </c>
      <c r="B116" s="116">
        <v>47.3</v>
      </c>
      <c r="C116" s="116">
        <v>50</v>
      </c>
      <c r="D116" s="116">
        <v>26.6</v>
      </c>
      <c r="E116" s="116">
        <v>44</v>
      </c>
      <c r="F116" s="116">
        <v>14.2</v>
      </c>
      <c r="G116" s="116">
        <v>17.7</v>
      </c>
      <c r="H116" s="116">
        <v>17.7</v>
      </c>
      <c r="I116" s="116">
        <v>15.5</v>
      </c>
      <c r="J116" s="116">
        <v>15.5</v>
      </c>
      <c r="K116" s="116">
        <v>21.3</v>
      </c>
      <c r="L116" s="116">
        <v>12.3</v>
      </c>
      <c r="M116" s="116">
        <v>33</v>
      </c>
      <c r="N116" s="116">
        <v>29.3</v>
      </c>
      <c r="O116" s="116">
        <v>19.3</v>
      </c>
      <c r="P116" s="116">
        <v>24.4</v>
      </c>
      <c r="Q116" s="116">
        <v>43.4</v>
      </c>
      <c r="R116" s="116">
        <v>16.2</v>
      </c>
      <c r="S116" s="116">
        <v>3.6</v>
      </c>
      <c r="T116" s="116">
        <v>56.4</v>
      </c>
      <c r="U116" s="116">
        <v>4.5999999999999996</v>
      </c>
      <c r="V116" s="116">
        <v>18.8</v>
      </c>
      <c r="W116" s="116">
        <v>24.9</v>
      </c>
      <c r="X116" s="116">
        <v>25.1</v>
      </c>
      <c r="Y116" s="116">
        <v>9.5</v>
      </c>
      <c r="Z116" s="116">
        <v>35.6</v>
      </c>
      <c r="AA116" s="116">
        <v>24.6</v>
      </c>
      <c r="AB116" s="116">
        <v>32</v>
      </c>
      <c r="AC116" s="116">
        <v>40</v>
      </c>
      <c r="AD116" s="116">
        <v>47</v>
      </c>
      <c r="AE116" s="116">
        <v>50</v>
      </c>
      <c r="AF116" s="116">
        <v>53</v>
      </c>
      <c r="AG116" s="117"/>
      <c r="AH116" s="47">
        <f t="shared" si="9"/>
        <v>56.4</v>
      </c>
      <c r="AI116" s="48">
        <f t="shared" si="10"/>
        <v>3.6</v>
      </c>
    </row>
    <row r="117" spans="1:37" x14ac:dyDescent="0.25">
      <c r="A117" s="115" t="s">
        <v>125</v>
      </c>
      <c r="B117" s="116">
        <v>4.8</v>
      </c>
      <c r="C117" s="116">
        <v>4.8</v>
      </c>
      <c r="D117" s="116">
        <v>1.3</v>
      </c>
      <c r="E117" s="116">
        <v>2</v>
      </c>
      <c r="F117" s="116">
        <v>-7.6</v>
      </c>
      <c r="G117" s="116">
        <v>13.5</v>
      </c>
      <c r="H117" s="116">
        <v>13.5</v>
      </c>
      <c r="I117" s="116">
        <v>14.5</v>
      </c>
      <c r="J117" s="116">
        <v>14.6</v>
      </c>
      <c r="K117" s="116">
        <v>23.1</v>
      </c>
      <c r="L117" s="116">
        <v>41.7</v>
      </c>
      <c r="M117" s="116">
        <v>-43.3</v>
      </c>
      <c r="N117" s="116">
        <v>-44.7</v>
      </c>
      <c r="O117" s="116">
        <v>-43.4</v>
      </c>
      <c r="P117" s="116">
        <v>-38.5</v>
      </c>
      <c r="Q117" s="116">
        <v>-33.9</v>
      </c>
      <c r="R117" s="116">
        <v>-34.6</v>
      </c>
      <c r="S117" s="116">
        <v>-29.1</v>
      </c>
      <c r="T117" s="116">
        <v>5.9</v>
      </c>
      <c r="U117" s="116">
        <v>-29.7</v>
      </c>
      <c r="V117" s="116">
        <v>-19.5</v>
      </c>
      <c r="W117" s="116">
        <v>-27.8</v>
      </c>
      <c r="X117" s="116">
        <v>-28.5</v>
      </c>
      <c r="Y117" s="116">
        <v>-30.9</v>
      </c>
      <c r="Z117" s="116">
        <v>-7.9</v>
      </c>
      <c r="AA117" s="116">
        <v>-8.8000000000000007</v>
      </c>
      <c r="AB117" s="116">
        <v>-7</v>
      </c>
      <c r="AC117" s="116">
        <v>-14</v>
      </c>
      <c r="AD117" s="116">
        <v>-2.5</v>
      </c>
      <c r="AE117" s="116">
        <v>0</v>
      </c>
      <c r="AF117" s="116">
        <v>0</v>
      </c>
      <c r="AG117" s="118"/>
      <c r="AH117" s="47">
        <f t="shared" si="9"/>
        <v>41.7</v>
      </c>
      <c r="AI117" s="48">
        <f t="shared" si="10"/>
        <v>-44.7</v>
      </c>
    </row>
    <row r="118" spans="1:37" x14ac:dyDescent="0.25">
      <c r="A118" s="119" t="s">
        <v>126</v>
      </c>
      <c r="B118" s="105">
        <v>34.5</v>
      </c>
      <c r="C118" s="105">
        <v>34.5</v>
      </c>
      <c r="D118" s="105">
        <v>38.700000000000003</v>
      </c>
      <c r="E118" s="105">
        <v>40.700000000000003</v>
      </c>
      <c r="F118" s="105">
        <v>45</v>
      </c>
      <c r="G118" s="105">
        <v>49.6</v>
      </c>
      <c r="H118" s="105">
        <v>49.6</v>
      </c>
      <c r="I118" s="105">
        <v>33.299999999999997</v>
      </c>
      <c r="J118" s="105">
        <v>33.5</v>
      </c>
      <c r="K118" s="105">
        <v>42</v>
      </c>
      <c r="L118" s="105">
        <v>42.6</v>
      </c>
      <c r="M118" s="105">
        <v>41.6</v>
      </c>
      <c r="N118" s="105">
        <v>39.1</v>
      </c>
      <c r="O118" s="105">
        <v>39</v>
      </c>
      <c r="P118" s="105">
        <v>35</v>
      </c>
      <c r="Q118" s="105">
        <v>9.6</v>
      </c>
      <c r="R118" s="105">
        <v>33.4</v>
      </c>
      <c r="S118" s="105">
        <v>34.299999999999997</v>
      </c>
      <c r="T118" s="105">
        <v>30.7</v>
      </c>
      <c r="U118" s="105">
        <v>37.700000000000003</v>
      </c>
      <c r="V118" s="105">
        <v>34.299999999999997</v>
      </c>
      <c r="W118" s="105">
        <v>31.6</v>
      </c>
      <c r="X118" s="105">
        <v>32</v>
      </c>
      <c r="Y118" s="105">
        <v>19</v>
      </c>
      <c r="Z118" s="105">
        <v>12.1</v>
      </c>
      <c r="AA118" s="105">
        <v>17.7</v>
      </c>
      <c r="AB118" s="105">
        <v>67</v>
      </c>
      <c r="AC118" s="105">
        <v>22</v>
      </c>
      <c r="AD118" s="105">
        <v>19</v>
      </c>
      <c r="AE118" s="105">
        <v>25</v>
      </c>
      <c r="AF118" s="105">
        <v>30</v>
      </c>
      <c r="AG118" s="118"/>
      <c r="AH118" s="47">
        <f t="shared" si="9"/>
        <v>67</v>
      </c>
      <c r="AI118" s="48">
        <f t="shared" si="10"/>
        <v>9.6</v>
      </c>
    </row>
    <row r="119" spans="1:37" x14ac:dyDescent="0.25">
      <c r="A119" s="120" t="s">
        <v>127</v>
      </c>
      <c r="B119" s="105">
        <v>94.5</v>
      </c>
      <c r="C119" s="105">
        <v>84.2</v>
      </c>
      <c r="D119" s="105">
        <v>98.8</v>
      </c>
      <c r="E119" s="105">
        <v>104</v>
      </c>
      <c r="F119" s="105">
        <v>101</v>
      </c>
      <c r="G119" s="105">
        <v>108</v>
      </c>
      <c r="H119" s="105">
        <v>108</v>
      </c>
      <c r="I119" s="105">
        <v>85</v>
      </c>
      <c r="J119" s="105">
        <v>83.2</v>
      </c>
      <c r="K119" s="105">
        <v>89</v>
      </c>
      <c r="L119" s="105">
        <v>86</v>
      </c>
      <c r="M119" s="105">
        <v>89.9</v>
      </c>
      <c r="N119" s="105">
        <v>98</v>
      </c>
      <c r="O119" s="105">
        <v>90</v>
      </c>
      <c r="P119" s="105">
        <v>92.5</v>
      </c>
      <c r="Q119" s="105">
        <v>93</v>
      </c>
      <c r="R119" s="105">
        <v>94.9</v>
      </c>
      <c r="S119" s="105">
        <v>94</v>
      </c>
      <c r="T119" s="105">
        <v>90</v>
      </c>
      <c r="U119" s="105">
        <v>98.3</v>
      </c>
      <c r="V119" s="105">
        <v>64.3</v>
      </c>
      <c r="W119" s="105">
        <v>62.4</v>
      </c>
      <c r="X119" s="105">
        <v>59.3</v>
      </c>
      <c r="Y119" s="105">
        <v>79.400000000000006</v>
      </c>
      <c r="Z119" s="105">
        <v>62.5</v>
      </c>
      <c r="AA119" s="105">
        <v>84.6</v>
      </c>
      <c r="AB119" s="105">
        <v>87</v>
      </c>
      <c r="AC119" s="105">
        <v>86</v>
      </c>
      <c r="AD119" s="105">
        <v>78</v>
      </c>
      <c r="AE119" s="105">
        <v>77</v>
      </c>
      <c r="AF119" s="105">
        <v>77</v>
      </c>
      <c r="AG119" s="118"/>
      <c r="AH119" s="47">
        <f t="shared" si="9"/>
        <v>108</v>
      </c>
      <c r="AI119" s="48">
        <f t="shared" si="10"/>
        <v>59.3</v>
      </c>
    </row>
    <row r="120" spans="1:37" ht="15.75" thickBot="1" x14ac:dyDescent="0.3">
      <c r="A120" s="119" t="s">
        <v>128</v>
      </c>
      <c r="B120" s="105">
        <v>21.1</v>
      </c>
      <c r="C120" s="105">
        <v>17.100000000000001</v>
      </c>
      <c r="D120" s="105">
        <v>18.600000000000001</v>
      </c>
      <c r="E120" s="105">
        <v>13.5</v>
      </c>
      <c r="F120" s="105">
        <v>11.6</v>
      </c>
      <c r="G120" s="105">
        <v>5.7</v>
      </c>
      <c r="H120" s="105">
        <v>5.7</v>
      </c>
      <c r="I120" s="105">
        <v>1.8</v>
      </c>
      <c r="J120" s="105">
        <v>1.6</v>
      </c>
      <c r="K120" s="105">
        <v>2</v>
      </c>
      <c r="L120" s="105">
        <v>-3.5</v>
      </c>
      <c r="M120" s="105">
        <v>3.6</v>
      </c>
      <c r="N120" s="105">
        <v>6.3</v>
      </c>
      <c r="O120" s="105">
        <v>2.2000000000000002</v>
      </c>
      <c r="P120" s="105">
        <v>10</v>
      </c>
      <c r="Q120" s="105">
        <v>22.6</v>
      </c>
      <c r="R120" s="105">
        <v>12.1</v>
      </c>
      <c r="S120" s="105">
        <v>13.9</v>
      </c>
      <c r="T120" s="105">
        <v>14.2</v>
      </c>
      <c r="U120" s="105">
        <v>5.8</v>
      </c>
      <c r="V120" s="105">
        <v>-1.2</v>
      </c>
      <c r="W120" s="105">
        <v>2.8</v>
      </c>
      <c r="X120" s="105">
        <v>1</v>
      </c>
      <c r="Y120" s="105">
        <v>26.1</v>
      </c>
      <c r="Z120" s="105">
        <v>33.4</v>
      </c>
      <c r="AA120" s="105">
        <v>24.7</v>
      </c>
      <c r="AB120" s="105">
        <v>33</v>
      </c>
      <c r="AC120" s="105">
        <v>36</v>
      </c>
      <c r="AD120" s="105">
        <v>45</v>
      </c>
      <c r="AE120" s="105">
        <v>40</v>
      </c>
      <c r="AF120" s="105">
        <v>35</v>
      </c>
      <c r="AG120" s="118"/>
      <c r="AH120" s="47">
        <f t="shared" si="9"/>
        <v>45</v>
      </c>
      <c r="AI120" s="48">
        <f t="shared" si="10"/>
        <v>-3.5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2055.44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1973.44</v>
      </c>
      <c r="U249" s="170">
        <f t="shared" si="23"/>
        <v>1955.44</v>
      </c>
      <c r="V249" s="170">
        <f t="shared" si="23"/>
        <v>1935.44</v>
      </c>
      <c r="W249" s="170">
        <f t="shared" si="23"/>
        <v>1927.3400000000001</v>
      </c>
      <c r="X249" s="170">
        <f t="shared" si="23"/>
        <v>1939.44</v>
      </c>
      <c r="Y249" s="170">
        <f t="shared" si="23"/>
        <v>1930.04</v>
      </c>
      <c r="Z249" s="170">
        <f t="shared" si="23"/>
        <v>1930.04</v>
      </c>
      <c r="AA249" s="170">
        <f t="shared" si="23"/>
        <v>1930.04</v>
      </c>
      <c r="AB249" s="170">
        <f t="shared" si="23"/>
        <v>1936.04</v>
      </c>
      <c r="AC249" s="170">
        <f t="shared" si="23"/>
        <v>1984.84</v>
      </c>
      <c r="AD249" s="170">
        <f t="shared" si="23"/>
        <v>2012.84</v>
      </c>
      <c r="AE249" s="170">
        <f t="shared" si="23"/>
        <v>2015.44</v>
      </c>
      <c r="AF249" s="170">
        <f t="shared" si="23"/>
        <v>2055.44</v>
      </c>
      <c r="AG249" s="170">
        <f t="shared" si="23"/>
        <v>2065.64</v>
      </c>
      <c r="AH249" s="170">
        <f t="shared" si="23"/>
        <v>2063.2400000000002</v>
      </c>
      <c r="AI249" s="170">
        <f t="shared" si="23"/>
        <v>2063.6400000000003</v>
      </c>
      <c r="AJ249" s="170">
        <f t="shared" si="23"/>
        <v>2062.84</v>
      </c>
      <c r="AK249" s="170">
        <f t="shared" si="23"/>
        <v>2059.04</v>
      </c>
      <c r="AL249" s="170">
        <f t="shared" si="23"/>
        <v>2066.14</v>
      </c>
      <c r="AM249" s="170">
        <f t="shared" si="23"/>
        <v>2072.84</v>
      </c>
      <c r="AN249" s="170">
        <f t="shared" si="23"/>
        <v>2062.94</v>
      </c>
      <c r="AO249" s="170">
        <f t="shared" si="23"/>
        <v>1996.8400000000001</v>
      </c>
      <c r="AP249" s="170">
        <f t="shared" si="23"/>
        <v>1995.54</v>
      </c>
      <c r="AQ249" s="170">
        <f t="shared" si="23"/>
        <v>2053.54</v>
      </c>
      <c r="AR249" s="170">
        <f t="shared" si="23"/>
        <v>2069.7399999999998</v>
      </c>
      <c r="AS249" s="170">
        <f t="shared" si="23"/>
        <v>2124.54</v>
      </c>
      <c r="AT249" s="170">
        <f t="shared" si="23"/>
        <v>2154.44</v>
      </c>
      <c r="AU249" s="170">
        <f t="shared" si="23"/>
        <v>2098.54</v>
      </c>
      <c r="AV249" s="170">
        <f t="shared" si="23"/>
        <v>2063.7400000000002</v>
      </c>
      <c r="AW249" s="170">
        <f t="shared" si="23"/>
        <v>2028.0400000000002</v>
      </c>
      <c r="AX249" s="170">
        <f t="shared" si="23"/>
        <v>1989.2400000000002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389" priority="64">
      <formula>$AH11=0</formula>
    </cfRule>
  </conditionalFormatting>
  <conditionalFormatting sqref="B8 M8 S8 AB8">
    <cfRule type="expression" dxfId="2388" priority="117">
      <formula>C$9&lt;8/24</formula>
    </cfRule>
    <cfRule type="expression" dxfId="2387" priority="116">
      <formula>AND(C$9&gt;=8/24,C$9&lt;14/24)</formula>
    </cfRule>
    <cfRule type="expression" dxfId="2386" priority="115">
      <formula>AND(C$9&gt;=14/24,C$9&lt;20/24)</formula>
    </cfRule>
  </conditionalFormatting>
  <conditionalFormatting sqref="B54:C54">
    <cfRule type="expression" dxfId="2385" priority="39">
      <formula>AND(B$9&gt;=14/24,B$9&lt;20/24)</formula>
    </cfRule>
    <cfRule type="expression" dxfId="2384" priority="41">
      <formula>B$9&lt;8/24</formula>
    </cfRule>
    <cfRule type="expression" dxfId="2383" priority="40">
      <formula>AND(B$9&gt;=8/24,B$9&lt;14/24)</formula>
    </cfRule>
    <cfRule type="expression" dxfId="2382" priority="38">
      <formula>B$9&gt;=20/24</formula>
    </cfRule>
  </conditionalFormatting>
  <conditionalFormatting sqref="B55:E59 F59:K59">
    <cfRule type="expression" dxfId="2381" priority="63">
      <formula>B$9&lt;8/24</formula>
    </cfRule>
    <cfRule type="expression" dxfId="2380" priority="62">
      <formula>AND(B$9&gt;=8/24,B$9&lt;14/24)</formula>
    </cfRule>
    <cfRule type="expression" dxfId="2379" priority="61">
      <formula>AND(B$9&gt;=14/24,B$9&lt;20/24)</formula>
    </cfRule>
    <cfRule type="expression" dxfId="2378" priority="60">
      <formula>B$9&gt;=20/24</formula>
    </cfRule>
  </conditionalFormatting>
  <conditionalFormatting sqref="B60:U60">
    <cfRule type="expression" dxfId="2377" priority="52">
      <formula>AND(B$9&gt;=14/24,B$9&lt;20/24)</formula>
    </cfRule>
    <cfRule type="expression" dxfId="2376" priority="51">
      <formula>B$9&gt;=20/24</formula>
    </cfRule>
    <cfRule type="expression" dxfId="2375" priority="54">
      <formula>B$9&lt;8/24</formula>
    </cfRule>
    <cfRule type="expression" dxfId="2374" priority="53">
      <formula>AND(B$9&gt;=8/24,B$9&lt;14/24)</formula>
    </cfRule>
  </conditionalFormatting>
  <conditionalFormatting sqref="B9:AF45">
    <cfRule type="expression" dxfId="2373" priority="26">
      <formula>B$9&lt;8/24</formula>
    </cfRule>
    <cfRule type="expression" dxfId="2372" priority="23">
      <formula>B$9&gt;=20/24</formula>
    </cfRule>
    <cfRule type="expression" dxfId="2371" priority="25">
      <formula>AND(B$9&gt;=8/24,B$9&lt;14/24)</formula>
    </cfRule>
    <cfRule type="expression" dxfId="2370" priority="24">
      <formula>AND(B$9&gt;=14/24,B$9&lt;20/24)</formula>
    </cfRule>
  </conditionalFormatting>
  <conditionalFormatting sqref="B11:AF46">
    <cfRule type="expression" dxfId="2369" priority="22">
      <formula>B11&gt;$AG11</formula>
    </cfRule>
  </conditionalFormatting>
  <conditionalFormatting sqref="B46:AF46">
    <cfRule type="expression" dxfId="2368" priority="21">
      <formula>B$9&lt;8/24</formula>
    </cfRule>
    <cfRule type="expression" dxfId="2367" priority="18">
      <formula>B$9&gt;=20/24</formula>
    </cfRule>
    <cfRule type="expression" dxfId="2366" priority="20">
      <formula>AND(B$9&gt;=8/24,B$9&lt;14/24)</formula>
    </cfRule>
    <cfRule type="expression" dxfId="2365" priority="19">
      <formula>AND(B$9&gt;=14/24,B$9&lt;20/24)</formula>
    </cfRule>
  </conditionalFormatting>
  <conditionalFormatting sqref="B47:AF47">
    <cfRule type="expression" dxfId="2364" priority="32">
      <formula>B47&gt;$AG47</formula>
    </cfRule>
  </conditionalFormatting>
  <conditionalFormatting sqref="B47:AF49">
    <cfRule type="expression" dxfId="2363" priority="28">
      <formula>B$9&gt;=20/24</formula>
    </cfRule>
    <cfRule type="expression" dxfId="2362" priority="29">
      <formula>AND(B$9&gt;=14/24,B$9&lt;20/24)</formula>
    </cfRule>
    <cfRule type="expression" dxfId="2361" priority="30">
      <formula>AND(B$9&gt;=8/24,B$9&lt;14/24)</formula>
    </cfRule>
    <cfRule type="expression" dxfId="2360" priority="31">
      <formula>B$9&lt;8/24</formula>
    </cfRule>
  </conditionalFormatting>
  <conditionalFormatting sqref="B48:AF53">
    <cfRule type="expression" dxfId="2359" priority="27">
      <formula>B48&gt;$AG48</formula>
    </cfRule>
  </conditionalFormatting>
  <conditionalFormatting sqref="B51:AF53">
    <cfRule type="expression" dxfId="2358" priority="47">
      <formula>B$9&gt;=20/24</formula>
    </cfRule>
    <cfRule type="expression" dxfId="2357" priority="48">
      <formula>AND(B$9&gt;=14/24,B$9&lt;20/24)</formula>
    </cfRule>
    <cfRule type="expression" dxfId="2356" priority="49">
      <formula>AND(B$9&gt;=8/24,B$9&lt;14/24)</formula>
    </cfRule>
    <cfRule type="expression" dxfId="2355" priority="50">
      <formula>B$9&lt;8/24</formula>
    </cfRule>
  </conditionalFormatting>
  <conditionalFormatting sqref="B61:AF66">
    <cfRule type="expression" dxfId="2354" priority="35">
      <formula>AND(B$9&gt;=14/24,B$9&lt;20/24)</formula>
    </cfRule>
    <cfRule type="expression" dxfId="2353" priority="36">
      <formula>AND(B$9&gt;=8/24,B$9&lt;14/24)</formula>
    </cfRule>
    <cfRule type="expression" dxfId="2352" priority="37">
      <formula>B$9&lt;8/24</formula>
    </cfRule>
    <cfRule type="expression" dxfId="2351" priority="34">
      <formula>B$9&gt;=20/24</formula>
    </cfRule>
  </conditionalFormatting>
  <conditionalFormatting sqref="B69:AF71">
    <cfRule type="expression" dxfId="2350" priority="59">
      <formula>B$9&lt;8/24</formula>
    </cfRule>
    <cfRule type="expression" dxfId="2349" priority="57">
      <formula>AND(B$9&gt;=14/24,B$9&lt;20/24)</formula>
    </cfRule>
    <cfRule type="expression" dxfId="2348" priority="56">
      <formula>B$9&gt;=20/24</formula>
    </cfRule>
    <cfRule type="expression" dxfId="2347" priority="55">
      <formula>B69&gt;$AG69</formula>
    </cfRule>
    <cfRule type="expression" dxfId="2346" priority="58">
      <formula>AND(B$9&gt;=8/24,B$9&lt;14/24)</formula>
    </cfRule>
  </conditionalFormatting>
  <conditionalFormatting sqref="B73:AF91">
    <cfRule type="expression" dxfId="2345" priority="2">
      <formula>AND(B$9&gt;=14/24,B$9&lt;20/24)</formula>
    </cfRule>
    <cfRule type="expression" dxfId="2344" priority="3">
      <formula>AND(B$9&gt;=8/24,B$9&lt;14/24)</formula>
    </cfRule>
    <cfRule type="expression" dxfId="2343" priority="4">
      <formula>B$9&lt;8/24</formula>
    </cfRule>
    <cfRule type="expression" dxfId="2342" priority="1">
      <formula>B$9&gt;=20/24</formula>
    </cfRule>
  </conditionalFormatting>
  <conditionalFormatting sqref="B111:AF120">
    <cfRule type="expression" dxfId="2341" priority="14">
      <formula>B$9&gt;=20/24</formula>
    </cfRule>
    <cfRule type="expression" dxfId="2340" priority="17">
      <formula>B$9&lt;8/24</formula>
    </cfRule>
    <cfRule type="expression" dxfId="2339" priority="16">
      <formula>AND(B$9&gt;=8/24,B$9&lt;14/24)</formula>
    </cfRule>
    <cfRule type="expression" dxfId="2338" priority="15">
      <formula>AND(B$9&gt;=14/24,B$9&lt;20/24)</formula>
    </cfRule>
  </conditionalFormatting>
  <conditionalFormatting sqref="B227:AF227 D229:AF230 B229:B235 D231:H231 J231:AF231 D232:AF235 U248:AF248">
    <cfRule type="expression" dxfId="2337" priority="111">
      <formula>B$9&lt;8/24</formula>
    </cfRule>
    <cfRule type="expression" dxfId="2336" priority="110">
      <formula>AND(B$9&gt;=8/24,B$9&lt;14/24)</formula>
    </cfRule>
    <cfRule type="expression" dxfId="2335" priority="108">
      <formula>B$9&gt;=20/24</formula>
    </cfRule>
    <cfRule type="expression" dxfId="2334" priority="109">
      <formula>AND(B$9&gt;=14/24,B$9&lt;20/24)</formula>
    </cfRule>
  </conditionalFormatting>
  <conditionalFormatting sqref="B67:AG68 B72:AG72">
    <cfRule type="expression" dxfId="2333" priority="42">
      <formula>B67&gt;$AG67</formula>
    </cfRule>
  </conditionalFormatting>
  <conditionalFormatting sqref="B72:AG72 B93:AF109">
    <cfRule type="expression" dxfId="2332" priority="46">
      <formula>B$9&lt;8/24</formula>
    </cfRule>
    <cfRule type="expression" dxfId="2331" priority="45">
      <formula>AND(B$9&gt;=8/24,B$9&lt;14/24)</formula>
    </cfRule>
    <cfRule type="expression" dxfId="2330" priority="44">
      <formula>AND(B$9&gt;=14/24,B$9&lt;20/24)</formula>
    </cfRule>
    <cfRule type="expression" dxfId="2329" priority="43">
      <formula>B$9&gt;=20/24</formula>
    </cfRule>
  </conditionalFormatting>
  <conditionalFormatting sqref="D55:AF66">
    <cfRule type="expression" dxfId="2328" priority="5">
      <formula>D55&gt;$AG55</formula>
    </cfRule>
  </conditionalFormatting>
  <conditionalFormatting sqref="D54:AG54">
    <cfRule type="expression" dxfId="2327" priority="78">
      <formula>AND(D$9&gt;=14/24,D$9&lt;20/24)</formula>
    </cfRule>
    <cfRule type="expression" dxfId="2326" priority="77">
      <formula>D$9&gt;=20/24</formula>
    </cfRule>
    <cfRule type="expression" dxfId="2325" priority="76">
      <formula>D54&gt;$AG54</formula>
    </cfRule>
    <cfRule type="expression" dxfId="2324" priority="79">
      <formula>AND(D$9&gt;=8/24,D$9&lt;14/24)</formula>
    </cfRule>
    <cfRule type="expression" dxfId="2323" priority="80">
      <formula>D$9&lt;8/24</formula>
    </cfRule>
  </conditionalFormatting>
  <conditionalFormatting sqref="F55:L57">
    <cfRule type="expression" dxfId="2322" priority="91">
      <formula>AND(F$9&gt;=8/24,F$9&lt;14/24)</formula>
    </cfRule>
    <cfRule type="expression" dxfId="2321" priority="92">
      <formula>F$9&lt;8/24</formula>
    </cfRule>
    <cfRule type="expression" dxfId="2320" priority="89">
      <formula>F$9&gt;=20/24</formula>
    </cfRule>
    <cfRule type="expression" dxfId="2319" priority="90">
      <formula>AND(F$9&gt;=14/24,F$9&lt;20/24)</formula>
    </cfRule>
  </conditionalFormatting>
  <conditionalFormatting sqref="M55:U59">
    <cfRule type="expression" dxfId="2318" priority="96">
      <formula>M$9&lt;8/24</formula>
    </cfRule>
    <cfRule type="expression" dxfId="2317" priority="94">
      <formula>AND(M$9&gt;=14/24,M$9&lt;20/24)</formula>
    </cfRule>
    <cfRule type="expression" dxfId="2316" priority="93">
      <formula>M$9&gt;=20/24</formula>
    </cfRule>
    <cfRule type="expression" dxfId="2315" priority="95">
      <formula>AND(M$9&gt;=8/24,M$9&lt;14/24)</formula>
    </cfRule>
  </conditionalFormatting>
  <conditionalFormatting sqref="N61:AF66 B54:C66">
    <cfRule type="expression" dxfId="2314" priority="33">
      <formula>B54&gt;$AG54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313" priority="114">
      <formula>C$9&gt;=20/24</formula>
    </cfRule>
  </conditionalFormatting>
  <conditionalFormatting sqref="S8">
    <cfRule type="expression" dxfId="2312" priority="101">
      <formula>U$9&gt;=20/24</formula>
    </cfRule>
    <cfRule type="expression" dxfId="2311" priority="102">
      <formula>AND(U$9&gt;=14/24,U$9&lt;20/24)</formula>
    </cfRule>
    <cfRule type="expression" dxfId="2310" priority="103">
      <formula>AND(U$9&gt;=8/24,U$9&lt;14/24)</formula>
    </cfRule>
    <cfRule type="expression" dxfId="2309" priority="104">
      <formula>U$9&lt;8/24</formula>
    </cfRule>
  </conditionalFormatting>
  <conditionalFormatting sqref="S55:AF60">
    <cfRule type="expression" dxfId="2308" priority="11">
      <formula>AND(S$9&gt;=14/24,S$9&lt;20/24)</formula>
    </cfRule>
    <cfRule type="expression" dxfId="2307" priority="10">
      <formula>S$9&gt;=20/24</formula>
    </cfRule>
    <cfRule type="expression" dxfId="2306" priority="12">
      <formula>AND(S$9&gt;=8/24,S$9&lt;14/24)</formula>
    </cfRule>
    <cfRule type="expression" dxfId="2305" priority="13">
      <formula>S$9&lt;8/24</formula>
    </cfRule>
  </conditionalFormatting>
  <conditionalFormatting sqref="T248">
    <cfRule type="expression" dxfId="2304" priority="129">
      <formula>AX$9&lt;8/24</formula>
    </cfRule>
    <cfRule type="expression" dxfId="2303" priority="126">
      <formula>AX$9&gt;=20/24</formula>
    </cfRule>
    <cfRule type="expression" dxfId="2302" priority="127">
      <formula>AND(AX$9&gt;=14/24,AX$9&lt;20/24)</formula>
    </cfRule>
    <cfRule type="expression" dxfId="2301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300" priority="97">
      <formula>AD$9&gt;=20/24</formula>
    </cfRule>
    <cfRule type="expression" dxfId="2299" priority="98">
      <formula>AND(AD$9&gt;=14/24,AD$9&lt;20/24)</formula>
    </cfRule>
    <cfRule type="expression" dxfId="2298" priority="99">
      <formula>AND(AD$9&gt;=8/24,AD$9&lt;14/24)</formula>
    </cfRule>
    <cfRule type="expression" dxfId="2297" priority="100">
      <formula>AD$9&lt;8/24</formula>
    </cfRule>
  </conditionalFormatting>
  <conditionalFormatting sqref="AE61:AF66">
    <cfRule type="expression" dxfId="2296" priority="6">
      <formula>AE$9&gt;=20/24</formula>
    </cfRule>
    <cfRule type="expression" dxfId="2295" priority="8">
      <formula>AND(AE$9&gt;=8/24,AE$9&lt;14/24)</formula>
    </cfRule>
    <cfRule type="expression" dxfId="2294" priority="7">
      <formula>AND(AE$9&gt;=14/24,AE$9&lt;20/24)</formula>
    </cfRule>
    <cfRule type="expression" dxfId="2293" priority="9">
      <formula>AE$9&lt;8/24</formula>
    </cfRule>
  </conditionalFormatting>
  <conditionalFormatting sqref="AG50">
    <cfRule type="expression" dxfId="2292" priority="84">
      <formula>AG50&gt;$AG50</formula>
    </cfRule>
  </conditionalFormatting>
  <conditionalFormatting sqref="AG89">
    <cfRule type="expression" dxfId="2291" priority="85">
      <formula>AG$9&gt;=20/24</formula>
    </cfRule>
    <cfRule type="expression" dxfId="2290" priority="86">
      <formula>AND(AG$9&gt;=14/24,AG$9&lt;20/24)</formula>
    </cfRule>
    <cfRule type="expression" dxfId="2289" priority="87">
      <formula>AND(AG$9&gt;=8/24,AG$9&lt;14/24)</formula>
    </cfRule>
    <cfRule type="expression" dxfId="2288" priority="88">
      <formula>AG$9&lt;8/24</formula>
    </cfRule>
  </conditionalFormatting>
  <conditionalFormatting sqref="AG248">
    <cfRule type="expression" dxfId="2287" priority="118">
      <formula>B$9&gt;=20/24</formula>
    </cfRule>
    <cfRule type="expression" dxfId="2286" priority="121">
      <formula>B$9&lt;8/24</formula>
    </cfRule>
    <cfRule type="expression" dxfId="2285" priority="120">
      <formula>AND(B$9&gt;=8/24,B$9&lt;14/24)</formula>
    </cfRule>
    <cfRule type="expression" dxfId="2284" priority="119">
      <formula>AND(B$9&gt;=14/24,B$9&lt;20/24)</formula>
    </cfRule>
  </conditionalFormatting>
  <conditionalFormatting sqref="AH248:AX248">
    <cfRule type="expression" dxfId="2283" priority="125">
      <formula>AG$9&lt;8/24</formula>
    </cfRule>
    <cfRule type="expression" dxfId="2282" priority="124">
      <formula>AND(AG$9&gt;=8/24,AG$9&lt;14/24)</formula>
    </cfRule>
    <cfRule type="expression" dxfId="2281" priority="123">
      <formula>AND(AG$9&gt;=14/24,AG$9&lt;20/24)</formula>
    </cfRule>
    <cfRule type="expression" dxfId="2280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279" priority="131">
      <formula>AJ$9&gt;=20/24</formula>
    </cfRule>
    <cfRule type="expression" dxfId="2278" priority="132">
      <formula>AND(AJ$9&gt;=14/24,AJ$9&lt;20/24)</formula>
    </cfRule>
    <cfRule type="expression" dxfId="2277" priority="133">
      <formula>AND(AJ$9&gt;=8/24,AJ$9&lt;14/24)</formula>
    </cfRule>
    <cfRule type="expression" dxfId="2276" priority="134">
      <formula>AJ$9&lt;8/24</formula>
    </cfRule>
  </conditionalFormatting>
  <conditionalFormatting sqref="AL80:AN80 AL86:AN86">
    <cfRule type="expression" dxfId="2275" priority="75">
      <formula>AL$9&lt;8/24</formula>
    </cfRule>
    <cfRule type="expression" dxfId="2274" priority="74">
      <formula>AND(AL$9&gt;=8/24,AL$9&lt;14/24)</formula>
    </cfRule>
    <cfRule type="expression" dxfId="2273" priority="73">
      <formula>AND(AL$9&gt;=14/24,AL$9&lt;20/24)</formula>
    </cfRule>
    <cfRule type="expression" dxfId="2272" priority="72">
      <formula>AL$9&gt;=20/24</formula>
    </cfRule>
  </conditionalFormatting>
  <conditionalFormatting sqref="AN81:AN84">
    <cfRule type="expression" dxfId="2271" priority="71">
      <formula>AN$9&lt;8/24</formula>
    </cfRule>
    <cfRule type="expression" dxfId="2270" priority="69">
      <formula>AND(AN$9&gt;=14/24,AN$9&lt;20/24)</formula>
    </cfRule>
    <cfRule type="expression" dxfId="2269" priority="70">
      <formula>AND(AN$9&gt;=8/24,AN$9&lt;14/24)</formula>
    </cfRule>
    <cfRule type="expression" dxfId="2268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37482-1345-423D-AC27-4AEDBA0C33BE}">
  <sheetPr codeName="Sheet16"/>
  <dimension ref="A1:CJ281"/>
  <sheetViews>
    <sheetView zoomScale="75" zoomScaleNormal="75" workbookViewId="0">
      <pane xSplit="1" ySplit="10" topLeftCell="B6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F79" sqref="F79"/>
    </sheetView>
  </sheetViews>
  <sheetFormatPr defaultRowHeight="15" x14ac:dyDescent="0.25"/>
  <cols>
    <col min="1" max="1" width="35.28515625" style="1" bestFit="1" customWidth="1"/>
    <col min="2" max="2" width="8.7109375" style="1" bestFit="1" customWidth="1"/>
    <col min="3" max="3" width="8.85546875" style="1" bestFit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.42578125" style="1" customWidth="1"/>
    <col min="12" max="12" width="7.285156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2080/05/14</v>
      </c>
      <c r="C4" s="196"/>
      <c r="D4" s="196"/>
      <c r="E4" s="197" t="str">
        <f ca="1">"2080/"&amp;"05/"&amp;INT(MID(CELL("filename",G6),FIND("]",CELL("filename",G6))+1,200))</f>
        <v>2080/05/14</v>
      </c>
      <c r="F4" s="197"/>
      <c r="G4" s="197"/>
      <c r="H4" s="197" t="str">
        <f ca="1">TEXT(E4,"dddd")</f>
        <v>Tuesday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2.5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2012MW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Load=1902</v>
      </c>
      <c r="B7" s="35">
        <f t="shared" ref="B7:AF7" si="1">B91</f>
        <v>1967.44</v>
      </c>
      <c r="C7" s="35">
        <f t="shared" si="1"/>
        <v>1964.94</v>
      </c>
      <c r="D7" s="35">
        <f t="shared" si="1"/>
        <v>1902.04</v>
      </c>
      <c r="E7" s="35">
        <f t="shared" si="1"/>
        <v>1952.7399999999998</v>
      </c>
      <c r="F7" s="35">
        <f t="shared" si="1"/>
        <v>1953.44</v>
      </c>
      <c r="G7" s="35">
        <f t="shared" si="1"/>
        <v>1978.8400000000001</v>
      </c>
      <c r="H7" s="35">
        <f t="shared" si="1"/>
        <v>1990.2400000000002</v>
      </c>
      <c r="I7" s="35">
        <f t="shared" si="1"/>
        <v>1995.14</v>
      </c>
      <c r="J7" s="35">
        <f t="shared" si="1"/>
        <v>1987.64</v>
      </c>
      <c r="K7" s="35">
        <f t="shared" si="1"/>
        <v>1986.04</v>
      </c>
      <c r="L7" s="35">
        <f t="shared" si="1"/>
        <v>2011.54</v>
      </c>
      <c r="M7" s="35">
        <f t="shared" si="1"/>
        <v>2004.34</v>
      </c>
      <c r="N7" s="35">
        <f>N91</f>
        <v>2004.74</v>
      </c>
      <c r="O7" s="35">
        <f t="shared" si="1"/>
        <v>1989.94</v>
      </c>
      <c r="P7" s="35">
        <f t="shared" si="1"/>
        <v>1947.14</v>
      </c>
      <c r="Q7" s="35">
        <f t="shared" si="1"/>
        <v>1932.1399999999999</v>
      </c>
      <c r="R7" s="35">
        <f t="shared" si="1"/>
        <v>1944.94</v>
      </c>
      <c r="S7" s="35">
        <f t="shared" si="1"/>
        <v>1951.24</v>
      </c>
      <c r="T7" s="35">
        <f t="shared" si="1"/>
        <v>1942.94</v>
      </c>
      <c r="U7" s="35">
        <f t="shared" si="1"/>
        <v>1968.54</v>
      </c>
      <c r="V7" s="35">
        <f t="shared" si="1"/>
        <v>1953.44</v>
      </c>
      <c r="W7" s="35">
        <f t="shared" si="1"/>
        <v>1944.74</v>
      </c>
      <c r="X7" s="35">
        <f t="shared" si="1"/>
        <v>1914.54</v>
      </c>
      <c r="Y7" s="35">
        <f t="shared" si="1"/>
        <v>1933.7399999999998</v>
      </c>
      <c r="Z7" s="35">
        <f t="shared" si="1"/>
        <v>2000.7399999999998</v>
      </c>
      <c r="AA7" s="35">
        <f t="shared" si="1"/>
        <v>2146.0400000000004</v>
      </c>
      <c r="AB7" s="35">
        <f t="shared" si="1"/>
        <v>2146.0400000000004</v>
      </c>
      <c r="AC7" s="35">
        <f t="shared" si="1"/>
        <v>2086.0400000000004</v>
      </c>
      <c r="AD7" s="35">
        <f t="shared" si="1"/>
        <v>2071.34</v>
      </c>
      <c r="AE7" s="35">
        <f t="shared" si="1"/>
        <v>2010.1399999999999</v>
      </c>
      <c r="AF7" s="35">
        <f t="shared" si="1"/>
        <v>2006.1399999999999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89.9</v>
      </c>
      <c r="F11" s="45">
        <v>89.9</v>
      </c>
      <c r="G11" s="45">
        <v>89.9</v>
      </c>
      <c r="H11" s="45">
        <v>89.9</v>
      </c>
      <c r="I11" s="45">
        <v>89.9</v>
      </c>
      <c r="J11" s="45">
        <v>89.9</v>
      </c>
      <c r="K11" s="45">
        <v>89.9</v>
      </c>
      <c r="L11" s="45">
        <v>89.9</v>
      </c>
      <c r="M11" s="45">
        <v>85.9</v>
      </c>
      <c r="N11" s="45">
        <v>86.2</v>
      </c>
      <c r="O11" s="45">
        <v>86.2</v>
      </c>
      <c r="P11" s="45">
        <v>86.2</v>
      </c>
      <c r="Q11" s="45">
        <v>86.2</v>
      </c>
      <c r="R11" s="45">
        <v>86.2</v>
      </c>
      <c r="S11" s="45">
        <v>86</v>
      </c>
      <c r="T11" s="45">
        <v>86</v>
      </c>
      <c r="U11" s="45">
        <v>86</v>
      </c>
      <c r="V11" s="45">
        <v>86</v>
      </c>
      <c r="W11" s="45">
        <v>86</v>
      </c>
      <c r="X11" s="45">
        <v>86</v>
      </c>
      <c r="Y11" s="45">
        <v>86.2</v>
      </c>
      <c r="Z11" s="45">
        <v>86.5</v>
      </c>
      <c r="AA11" s="45">
        <v>86.4</v>
      </c>
      <c r="AB11" s="45">
        <v>86.4</v>
      </c>
      <c r="AC11" s="45">
        <v>86.4</v>
      </c>
      <c r="AD11" s="45">
        <v>86.4</v>
      </c>
      <c r="AE11" s="45">
        <v>90</v>
      </c>
      <c r="AF11" s="45">
        <v>86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85.9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8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10</v>
      </c>
      <c r="AB12" s="45">
        <v>10</v>
      </c>
      <c r="AC12" s="45">
        <v>10</v>
      </c>
      <c r="AD12" s="45">
        <v>10</v>
      </c>
      <c r="AE12" s="45">
        <v>0</v>
      </c>
      <c r="AF12" s="45">
        <v>0</v>
      </c>
      <c r="AG12" s="49">
        <v>54</v>
      </c>
      <c r="AH12" s="47">
        <f t="shared" si="2"/>
        <v>10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27.8</v>
      </c>
      <c r="C13" s="45">
        <v>27.8</v>
      </c>
      <c r="D13" s="45">
        <v>0</v>
      </c>
      <c r="E13" s="45">
        <v>53</v>
      </c>
      <c r="F13" s="45">
        <v>53</v>
      </c>
      <c r="G13" s="45">
        <v>53</v>
      </c>
      <c r="H13" s="45">
        <v>53</v>
      </c>
      <c r="I13" s="45">
        <v>53</v>
      </c>
      <c r="J13" s="45">
        <v>53</v>
      </c>
      <c r="K13" s="45">
        <v>53</v>
      </c>
      <c r="L13" s="45">
        <v>53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54.2</v>
      </c>
      <c r="R13" s="45">
        <v>54.2</v>
      </c>
      <c r="S13" s="45">
        <v>54.2</v>
      </c>
      <c r="T13" s="45">
        <v>54.2</v>
      </c>
      <c r="U13" s="45">
        <v>52.7</v>
      </c>
      <c r="V13" s="45">
        <v>52.7</v>
      </c>
      <c r="W13" s="45">
        <v>52.7</v>
      </c>
      <c r="X13" s="45">
        <v>52.8</v>
      </c>
      <c r="Y13" s="45">
        <v>52.9</v>
      </c>
      <c r="Z13" s="45">
        <v>53</v>
      </c>
      <c r="AA13" s="45">
        <v>53</v>
      </c>
      <c r="AB13" s="45">
        <v>53</v>
      </c>
      <c r="AC13" s="45">
        <v>53</v>
      </c>
      <c r="AD13" s="45">
        <v>53</v>
      </c>
      <c r="AE13" s="45">
        <v>53</v>
      </c>
      <c r="AF13" s="45">
        <v>53</v>
      </c>
      <c r="AG13" s="46">
        <v>52.4</v>
      </c>
      <c r="AH13" s="47">
        <f t="shared" si="2"/>
        <v>54.3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50.4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58">
        <v>50.5</v>
      </c>
      <c r="AC14" s="58">
        <v>50.5</v>
      </c>
      <c r="AD14" s="58">
        <v>50.5</v>
      </c>
      <c r="AE14" s="58">
        <v>50.5</v>
      </c>
      <c r="AF14" s="58">
        <v>50.5</v>
      </c>
      <c r="AG14" s="49">
        <v>50</v>
      </c>
      <c r="AH14" s="47">
        <f t="shared" si="2"/>
        <v>50.6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37.700000000000003</v>
      </c>
      <c r="C15" s="45">
        <v>37.700000000000003</v>
      </c>
      <c r="D15" s="45">
        <v>37.700000000000003</v>
      </c>
      <c r="E15" s="45">
        <v>37.700000000000003</v>
      </c>
      <c r="F15" s="45">
        <v>37.700000000000003</v>
      </c>
      <c r="G15" s="45">
        <v>37.700000000000003</v>
      </c>
      <c r="H15" s="45">
        <v>37.700000000000003</v>
      </c>
      <c r="I15" s="45">
        <v>37.700000000000003</v>
      </c>
      <c r="J15" s="45">
        <v>37.700000000000003</v>
      </c>
      <c r="K15" s="45">
        <v>37.700000000000003</v>
      </c>
      <c r="L15" s="45">
        <v>37.700000000000003</v>
      </c>
      <c r="M15" s="45">
        <v>37.1</v>
      </c>
      <c r="N15" s="45">
        <v>37.1</v>
      </c>
      <c r="O15" s="45">
        <v>37.1</v>
      </c>
      <c r="P15" s="45">
        <v>37.1</v>
      </c>
      <c r="Q15" s="45">
        <v>37.200000000000003</v>
      </c>
      <c r="R15" s="45">
        <v>37.200000000000003</v>
      </c>
      <c r="S15" s="45">
        <v>37.200000000000003</v>
      </c>
      <c r="T15" s="45">
        <v>37.200000000000003</v>
      </c>
      <c r="U15" s="45">
        <v>37.200000000000003</v>
      </c>
      <c r="V15" s="45">
        <v>37.200000000000003</v>
      </c>
      <c r="W15" s="45">
        <v>37.200000000000003</v>
      </c>
      <c r="X15" s="45">
        <v>37.5</v>
      </c>
      <c r="Y15" s="45">
        <v>37.9</v>
      </c>
      <c r="Z15" s="45">
        <v>37.9</v>
      </c>
      <c r="AA15" s="45">
        <v>46.6</v>
      </c>
      <c r="AB15" s="45">
        <v>46.6</v>
      </c>
      <c r="AC15" s="45">
        <v>46.6</v>
      </c>
      <c r="AD15" s="45">
        <v>46.6</v>
      </c>
      <c r="AE15" s="45">
        <v>46.6</v>
      </c>
      <c r="AF15" s="45">
        <v>46.6</v>
      </c>
      <c r="AG15" s="49">
        <v>45</v>
      </c>
      <c r="AH15" s="47">
        <f t="shared" si="2"/>
        <v>46.6</v>
      </c>
      <c r="AI15" s="48">
        <f t="shared" si="3"/>
        <v>37.1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0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>
        <v>27.4</v>
      </c>
      <c r="G17" s="45">
        <v>27.4</v>
      </c>
      <c r="H17" s="45">
        <v>27.4</v>
      </c>
      <c r="I17" s="45">
        <v>27.4</v>
      </c>
      <c r="J17" s="45">
        <v>27.4</v>
      </c>
      <c r="K17" s="45">
        <v>27.4</v>
      </c>
      <c r="L17" s="45">
        <v>27.4</v>
      </c>
      <c r="M17" s="45">
        <v>27.4</v>
      </c>
      <c r="N17" s="45">
        <v>27.4</v>
      </c>
      <c r="O17" s="45">
        <v>27.4</v>
      </c>
      <c r="P17" s="45">
        <v>27.4</v>
      </c>
      <c r="Q17" s="45">
        <v>28.4</v>
      </c>
      <c r="R17" s="45">
        <v>28.4</v>
      </c>
      <c r="S17" s="45">
        <v>28.4</v>
      </c>
      <c r="T17" s="45">
        <v>28.4</v>
      </c>
      <c r="U17" s="45">
        <v>28.4</v>
      </c>
      <c r="V17" s="45">
        <v>28.4</v>
      </c>
      <c r="W17" s="45">
        <v>28.4</v>
      </c>
      <c r="X17" s="45">
        <v>28.4</v>
      </c>
      <c r="Y17" s="45">
        <v>28.4</v>
      </c>
      <c r="Z17" s="45">
        <v>28.4</v>
      </c>
      <c r="AA17" s="45">
        <v>28.4</v>
      </c>
      <c r="AB17" s="45">
        <v>28.4</v>
      </c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28.4</v>
      </c>
      <c r="AI17" s="48">
        <f t="shared" si="3"/>
        <v>27.4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38.299999999999997</v>
      </c>
      <c r="C18" s="45">
        <v>38.299999999999997</v>
      </c>
      <c r="D18" s="45">
        <v>38.299999999999997</v>
      </c>
      <c r="E18" s="45">
        <v>38.299999999999997</v>
      </c>
      <c r="F18" s="45">
        <v>38.299999999999997</v>
      </c>
      <c r="G18" s="45">
        <v>38.299999999999997</v>
      </c>
      <c r="H18" s="45">
        <v>38.299999999999997</v>
      </c>
      <c r="I18" s="45">
        <v>38.299999999999997</v>
      </c>
      <c r="J18" s="45">
        <v>38.299999999999997</v>
      </c>
      <c r="K18" s="45">
        <v>38.299999999999997</v>
      </c>
      <c r="L18" s="45">
        <v>38.299999999999997</v>
      </c>
      <c r="M18" s="45">
        <v>38.299999999999997</v>
      </c>
      <c r="N18" s="45">
        <v>38.299999999999997</v>
      </c>
      <c r="O18" s="45">
        <v>38.299999999999997</v>
      </c>
      <c r="P18" s="45">
        <v>38.299999999999997</v>
      </c>
      <c r="Q18" s="45">
        <v>35</v>
      </c>
      <c r="R18" s="45">
        <v>35</v>
      </c>
      <c r="S18" s="45">
        <v>35</v>
      </c>
      <c r="T18" s="45">
        <v>35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35</v>
      </c>
      <c r="AA18" s="45">
        <v>35</v>
      </c>
      <c r="AB18" s="45">
        <v>35</v>
      </c>
      <c r="AC18" s="45">
        <v>35</v>
      </c>
      <c r="AD18" s="45">
        <v>35</v>
      </c>
      <c r="AE18" s="45">
        <v>35</v>
      </c>
      <c r="AF18" s="45">
        <v>35</v>
      </c>
      <c r="AG18" s="49">
        <v>38.46</v>
      </c>
      <c r="AH18" s="47">
        <f t="shared" si="2"/>
        <v>38.299999999999997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30</v>
      </c>
      <c r="C19" s="45">
        <v>30</v>
      </c>
      <c r="D19" s="45">
        <v>30</v>
      </c>
      <c r="E19" s="45">
        <v>30</v>
      </c>
      <c r="F19" s="45">
        <v>30</v>
      </c>
      <c r="G19" s="45">
        <v>30</v>
      </c>
      <c r="H19" s="45">
        <v>30</v>
      </c>
      <c r="I19" s="45">
        <v>30</v>
      </c>
      <c r="J19" s="45">
        <v>30</v>
      </c>
      <c r="K19" s="45">
        <v>30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5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0</v>
      </c>
      <c r="Z20" s="45">
        <v>0</v>
      </c>
      <c r="AA20" s="45">
        <v>5.7</v>
      </c>
      <c r="AB20" s="45">
        <v>5.7</v>
      </c>
      <c r="AC20" s="45">
        <v>5.7</v>
      </c>
      <c r="AD20" s="45">
        <v>0</v>
      </c>
      <c r="AE20" s="45">
        <v>0</v>
      </c>
      <c r="AF20" s="45">
        <v>0</v>
      </c>
      <c r="AG20" s="51">
        <v>30</v>
      </c>
      <c r="AH20" s="47">
        <f t="shared" si="2"/>
        <v>5.7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</v>
      </c>
      <c r="C21" s="45">
        <v>21</v>
      </c>
      <c r="D21" s="45">
        <v>21</v>
      </c>
      <c r="E21" s="45">
        <v>21</v>
      </c>
      <c r="F21" s="45">
        <v>24.8</v>
      </c>
      <c r="G21" s="45">
        <v>24.8</v>
      </c>
      <c r="H21" s="45">
        <v>24.8</v>
      </c>
      <c r="I21" s="45">
        <v>24.8</v>
      </c>
      <c r="J21" s="45">
        <v>24.8</v>
      </c>
      <c r="K21" s="45">
        <v>24.8</v>
      </c>
      <c r="L21" s="45">
        <v>24.8</v>
      </c>
      <c r="M21" s="45">
        <v>22.7</v>
      </c>
      <c r="N21" s="45">
        <v>22.7</v>
      </c>
      <c r="O21" s="45">
        <v>22.7</v>
      </c>
      <c r="P21" s="45">
        <v>22.7</v>
      </c>
      <c r="Q21" s="45">
        <v>22.7</v>
      </c>
      <c r="R21" s="45">
        <v>22.7</v>
      </c>
      <c r="S21" s="45">
        <v>22.7</v>
      </c>
      <c r="T21" s="45">
        <v>22.7</v>
      </c>
      <c r="U21" s="45">
        <v>22.7</v>
      </c>
      <c r="V21" s="45">
        <v>22.7</v>
      </c>
      <c r="W21" s="45">
        <v>22.7</v>
      </c>
      <c r="X21" s="45">
        <v>22.8</v>
      </c>
      <c r="Y21" s="45">
        <v>26.7</v>
      </c>
      <c r="Z21" s="45">
        <v>30</v>
      </c>
      <c r="AA21" s="45">
        <v>30.1</v>
      </c>
      <c r="AB21" s="45">
        <v>30.1</v>
      </c>
      <c r="AC21" s="45">
        <v>30.1</v>
      </c>
      <c r="AD21" s="45">
        <v>30.1</v>
      </c>
      <c r="AE21" s="45">
        <v>30.1</v>
      </c>
      <c r="AF21" s="45">
        <v>30.1</v>
      </c>
      <c r="AG21" s="49">
        <v>24.2</v>
      </c>
      <c r="AH21" s="47">
        <f t="shared" si="2"/>
        <v>30.1</v>
      </c>
      <c r="AI21" s="48">
        <f t="shared" si="3"/>
        <v>21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25.4</v>
      </c>
      <c r="C22" s="45">
        <v>25.4</v>
      </c>
      <c r="D22" s="45">
        <v>25.4</v>
      </c>
      <c r="E22" s="45">
        <v>25.4</v>
      </c>
      <c r="F22" s="45">
        <v>25.4</v>
      </c>
      <c r="G22" s="45">
        <v>25.4</v>
      </c>
      <c r="H22" s="45">
        <v>25.4</v>
      </c>
      <c r="I22" s="45">
        <v>25.4</v>
      </c>
      <c r="J22" s="45">
        <v>25.4</v>
      </c>
      <c r="K22" s="45">
        <v>25.4</v>
      </c>
      <c r="L22" s="45">
        <v>24.6</v>
      </c>
      <c r="M22" s="45">
        <v>24.6</v>
      </c>
      <c r="N22" s="45">
        <v>24.6</v>
      </c>
      <c r="O22" s="45">
        <v>24.6</v>
      </c>
      <c r="P22" s="45">
        <v>24.6</v>
      </c>
      <c r="Q22" s="45">
        <v>24.6</v>
      </c>
      <c r="R22" s="45">
        <v>24.6</v>
      </c>
      <c r="S22" s="45">
        <v>24.6</v>
      </c>
      <c r="T22" s="45">
        <v>24.6</v>
      </c>
      <c r="U22" s="45">
        <v>24.6</v>
      </c>
      <c r="V22" s="45">
        <v>24.6</v>
      </c>
      <c r="W22" s="45">
        <v>24.6</v>
      </c>
      <c r="X22" s="45">
        <v>24.6</v>
      </c>
      <c r="Y22" s="45">
        <v>24.6</v>
      </c>
      <c r="Z22" s="45">
        <v>28.5</v>
      </c>
      <c r="AA22" s="45">
        <v>28.4</v>
      </c>
      <c r="AB22" s="45">
        <v>28.4</v>
      </c>
      <c r="AC22" s="45">
        <v>28.4</v>
      </c>
      <c r="AD22" s="45">
        <v>28.4</v>
      </c>
      <c r="AE22" s="45">
        <v>28.4</v>
      </c>
      <c r="AF22" s="45">
        <v>28.4</v>
      </c>
      <c r="AG22" s="49">
        <v>28</v>
      </c>
      <c r="AH22" s="47">
        <f t="shared" si="2"/>
        <v>28.5</v>
      </c>
      <c r="AI22" s="48">
        <f t="shared" si="3"/>
        <v>24.6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4.5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0</v>
      </c>
      <c r="AA23" s="45">
        <v>4</v>
      </c>
      <c r="AB23" s="45">
        <v>4</v>
      </c>
      <c r="AC23" s="45">
        <v>4</v>
      </c>
      <c r="AD23" s="45">
        <v>4</v>
      </c>
      <c r="AE23" s="45">
        <v>0</v>
      </c>
      <c r="AF23" s="45">
        <v>0</v>
      </c>
      <c r="AG23" s="51">
        <v>30</v>
      </c>
      <c r="AH23" s="47">
        <f t="shared" si="2"/>
        <v>4.5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24.2</v>
      </c>
      <c r="C24" s="45">
        <v>24.2</v>
      </c>
      <c r="D24" s="45">
        <v>24.2</v>
      </c>
      <c r="E24" s="45">
        <v>24.2</v>
      </c>
      <c r="F24" s="45">
        <v>24.2</v>
      </c>
      <c r="G24" s="45">
        <v>24.2</v>
      </c>
      <c r="H24" s="45">
        <v>24.2</v>
      </c>
      <c r="I24" s="45">
        <v>24.2</v>
      </c>
      <c r="J24" s="45">
        <v>24.2</v>
      </c>
      <c r="K24" s="45">
        <v>24.2</v>
      </c>
      <c r="L24" s="45">
        <v>24.2</v>
      </c>
      <c r="M24" s="45">
        <v>24.2</v>
      </c>
      <c r="N24" s="45">
        <v>24.2</v>
      </c>
      <c r="O24" s="45">
        <v>24.2</v>
      </c>
      <c r="P24" s="45">
        <v>24.2</v>
      </c>
      <c r="Q24" s="45">
        <v>24.2</v>
      </c>
      <c r="R24" s="45">
        <v>24.2</v>
      </c>
      <c r="S24" s="45">
        <v>24.2</v>
      </c>
      <c r="T24" s="45">
        <v>24.2</v>
      </c>
      <c r="U24" s="45">
        <v>24.2</v>
      </c>
      <c r="V24" s="45">
        <v>24.2</v>
      </c>
      <c r="W24" s="45">
        <v>24.2</v>
      </c>
      <c r="X24" s="45">
        <v>24</v>
      </c>
      <c r="Y24" s="45">
        <v>24</v>
      </c>
      <c r="Z24" s="45">
        <v>26</v>
      </c>
      <c r="AA24" s="45">
        <v>26.1</v>
      </c>
      <c r="AB24" s="45">
        <v>26.1</v>
      </c>
      <c r="AC24" s="45">
        <v>26.1</v>
      </c>
      <c r="AD24" s="45">
        <v>26.1</v>
      </c>
      <c r="AE24" s="45">
        <v>26.1</v>
      </c>
      <c r="AF24" s="45">
        <v>26.1</v>
      </c>
      <c r="AG24" s="49">
        <v>25</v>
      </c>
      <c r="AH24" s="47">
        <f t="shared" si="2"/>
        <v>26.1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18</v>
      </c>
      <c r="C26" s="45">
        <v>18</v>
      </c>
      <c r="D26" s="45">
        <v>18</v>
      </c>
      <c r="E26" s="45">
        <v>18</v>
      </c>
      <c r="F26" s="45">
        <v>18</v>
      </c>
      <c r="G26" s="45">
        <v>18</v>
      </c>
      <c r="H26" s="45">
        <v>18</v>
      </c>
      <c r="I26" s="45">
        <v>18</v>
      </c>
      <c r="J26" s="45">
        <v>18</v>
      </c>
      <c r="K26" s="45">
        <v>18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18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5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0</v>
      </c>
      <c r="AA27" s="45">
        <v>4</v>
      </c>
      <c r="AB27" s="45">
        <v>4</v>
      </c>
      <c r="AC27" s="45">
        <v>4</v>
      </c>
      <c r="AD27" s="45">
        <v>4</v>
      </c>
      <c r="AE27" s="45">
        <v>0</v>
      </c>
      <c r="AF27" s="45">
        <v>0</v>
      </c>
      <c r="AG27" s="49">
        <v>25</v>
      </c>
      <c r="AH27" s="47">
        <f t="shared" si="2"/>
        <v>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24.8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4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0</v>
      </c>
      <c r="AA33" s="45">
        <v>5</v>
      </c>
      <c r="AB33" s="45">
        <v>5</v>
      </c>
      <c r="AC33" s="45">
        <v>5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4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0</v>
      </c>
      <c r="AA34" s="45">
        <v>4</v>
      </c>
      <c r="AB34" s="45">
        <v>4</v>
      </c>
      <c r="AC34" s="45">
        <v>4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14</v>
      </c>
      <c r="R35" s="45">
        <v>14</v>
      </c>
      <c r="S35" s="45">
        <v>14</v>
      </c>
      <c r="T35" s="45">
        <v>14</v>
      </c>
      <c r="U35" s="45">
        <v>14</v>
      </c>
      <c r="V35" s="45">
        <v>14</v>
      </c>
      <c r="W35" s="45">
        <v>14</v>
      </c>
      <c r="X35" s="45">
        <v>14</v>
      </c>
      <c r="Y35" s="45">
        <v>14</v>
      </c>
      <c r="Z35" s="45">
        <v>14</v>
      </c>
      <c r="AA35" s="45">
        <v>14</v>
      </c>
      <c r="AB35" s="45">
        <v>14</v>
      </c>
      <c r="AC35" s="45">
        <v>14</v>
      </c>
      <c r="AD35" s="45">
        <v>14</v>
      </c>
      <c r="AE35" s="45">
        <v>14</v>
      </c>
      <c r="AF35" s="45">
        <v>14</v>
      </c>
      <c r="AG35" s="49">
        <v>14.9</v>
      </c>
      <c r="AH35" s="47">
        <f t="shared" si="2"/>
        <v>15</v>
      </c>
      <c r="AI35" s="48">
        <f t="shared" si="3"/>
        <v>14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2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2</v>
      </c>
      <c r="AB39" s="45">
        <v>2</v>
      </c>
      <c r="AC39" s="45">
        <v>2</v>
      </c>
      <c r="AD39" s="45">
        <v>2</v>
      </c>
      <c r="AE39" s="45">
        <v>0</v>
      </c>
      <c r="AF39" s="45">
        <v>0</v>
      </c>
      <c r="AG39" s="49">
        <v>12</v>
      </c>
      <c r="AH39" s="47">
        <f t="shared" si="2"/>
        <v>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4</v>
      </c>
      <c r="AB41" s="45">
        <v>4</v>
      </c>
      <c r="AC41" s="45">
        <v>4</v>
      </c>
      <c r="AD41" s="45">
        <v>4</v>
      </c>
      <c r="AE41" s="45">
        <v>4</v>
      </c>
      <c r="AF41" s="45">
        <v>4</v>
      </c>
      <c r="AG41" s="49">
        <v>12</v>
      </c>
      <c r="AH41" s="47">
        <f t="shared" si="2"/>
        <v>4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10</v>
      </c>
      <c r="N46" s="45">
        <v>10</v>
      </c>
      <c r="O46" s="45">
        <v>10</v>
      </c>
      <c r="P46" s="45">
        <v>10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10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420</v>
      </c>
      <c r="C48" s="56">
        <v>420</v>
      </c>
      <c r="D48" s="56">
        <v>420</v>
      </c>
      <c r="E48" s="56">
        <v>420</v>
      </c>
      <c r="F48" s="56">
        <v>420</v>
      </c>
      <c r="G48" s="56">
        <v>420</v>
      </c>
      <c r="H48" s="56">
        <v>420</v>
      </c>
      <c r="I48" s="56">
        <v>420</v>
      </c>
      <c r="J48" s="56">
        <v>420</v>
      </c>
      <c r="K48" s="56">
        <v>420</v>
      </c>
      <c r="L48" s="56">
        <v>420</v>
      </c>
      <c r="M48" s="56">
        <v>420</v>
      </c>
      <c r="N48" s="56">
        <v>420</v>
      </c>
      <c r="O48" s="56">
        <v>420</v>
      </c>
      <c r="P48" s="56">
        <v>420</v>
      </c>
      <c r="Q48" s="56">
        <v>420</v>
      </c>
      <c r="R48" s="56">
        <v>420</v>
      </c>
      <c r="S48" s="56">
        <v>420</v>
      </c>
      <c r="T48" s="56">
        <v>420</v>
      </c>
      <c r="U48" s="56">
        <v>420</v>
      </c>
      <c r="V48" s="56">
        <v>420</v>
      </c>
      <c r="W48" s="56">
        <v>420</v>
      </c>
      <c r="X48" s="56">
        <v>420</v>
      </c>
      <c r="Y48" s="56">
        <v>420</v>
      </c>
      <c r="Z48" s="56">
        <v>420</v>
      </c>
      <c r="AA48" s="56">
        <v>420</v>
      </c>
      <c r="AB48" s="56">
        <v>420</v>
      </c>
      <c r="AC48" s="56">
        <v>420</v>
      </c>
      <c r="AD48" s="56">
        <v>420</v>
      </c>
      <c r="AE48" s="56">
        <v>420</v>
      </c>
      <c r="AF48" s="56">
        <v>420</v>
      </c>
      <c r="AG48" s="54">
        <v>85</v>
      </c>
      <c r="AH48" s="47">
        <f t="shared" si="2"/>
        <v>420</v>
      </c>
      <c r="AI48" s="48">
        <f t="shared" si="3"/>
        <v>420</v>
      </c>
      <c r="AK48" s="50"/>
    </row>
    <row r="49" spans="1:41" ht="15.75" thickBot="1" x14ac:dyDescent="0.3">
      <c r="A49" s="57" t="s">
        <v>57</v>
      </c>
      <c r="B49" s="56">
        <v>110.39999999999999</v>
      </c>
      <c r="C49" s="56">
        <v>110.39999999999999</v>
      </c>
      <c r="D49" s="56">
        <v>110.39999999999999</v>
      </c>
      <c r="E49" s="56">
        <v>114</v>
      </c>
      <c r="F49" s="56">
        <v>114</v>
      </c>
      <c r="G49" s="56">
        <v>114</v>
      </c>
      <c r="H49" s="56">
        <v>113</v>
      </c>
      <c r="I49" s="56">
        <v>108</v>
      </c>
      <c r="J49" s="56">
        <v>112.4</v>
      </c>
      <c r="K49" s="56">
        <v>112.4</v>
      </c>
      <c r="L49" s="56">
        <v>112</v>
      </c>
      <c r="M49" s="58">
        <f>81.3+29.9</f>
        <v>111.19999999999999</v>
      </c>
      <c r="N49" s="58">
        <f>81.6+30</f>
        <v>111.6</v>
      </c>
      <c r="O49" s="58">
        <f>82.3+30.5</f>
        <v>112.8</v>
      </c>
      <c r="P49" s="58">
        <f>82.7+30.3</f>
        <v>113</v>
      </c>
      <c r="Q49" s="58">
        <f>82.7+30.3</f>
        <v>113</v>
      </c>
      <c r="R49" s="58">
        <f>82.8+30.7</f>
        <v>113.5</v>
      </c>
      <c r="S49" s="58">
        <f>82.8+30.7</f>
        <v>113.5</v>
      </c>
      <c r="T49" s="58">
        <v>109</v>
      </c>
      <c r="U49" s="58">
        <v>113</v>
      </c>
      <c r="V49" s="58">
        <v>113</v>
      </c>
      <c r="W49" s="58">
        <f>30.5+82.6</f>
        <v>113.1</v>
      </c>
      <c r="X49" s="58">
        <f>30+81.3</f>
        <v>111.3</v>
      </c>
      <c r="Y49" s="58">
        <f>30+81.3</f>
        <v>111.3</v>
      </c>
      <c r="Z49" s="58">
        <f>29.3+79.9</f>
        <v>109.2</v>
      </c>
      <c r="AA49" s="58">
        <f t="shared" ref="AA49:AF49" si="4">29.6+80.7</f>
        <v>110.30000000000001</v>
      </c>
      <c r="AB49" s="58">
        <f t="shared" si="4"/>
        <v>110.30000000000001</v>
      </c>
      <c r="AC49" s="58">
        <f t="shared" si="4"/>
        <v>110.30000000000001</v>
      </c>
      <c r="AD49" s="58">
        <f t="shared" si="4"/>
        <v>110.30000000000001</v>
      </c>
      <c r="AE49" s="58">
        <f t="shared" si="4"/>
        <v>110.30000000000001</v>
      </c>
      <c r="AF49" s="58">
        <f t="shared" si="4"/>
        <v>110.30000000000001</v>
      </c>
      <c r="AG49" s="54">
        <v>240</v>
      </c>
      <c r="AH49" s="47">
        <f t="shared" si="2"/>
        <v>114</v>
      </c>
      <c r="AI49" s="48">
        <f t="shared" si="3"/>
        <v>108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1046.8</v>
      </c>
      <c r="C50" s="60">
        <f t="shared" si="5"/>
        <v>1046.8</v>
      </c>
      <c r="D50" s="60">
        <f t="shared" si="5"/>
        <v>1019</v>
      </c>
      <c r="E50" s="60">
        <f t="shared" si="5"/>
        <v>1071.5999999999999</v>
      </c>
      <c r="F50" s="60">
        <f t="shared" si="5"/>
        <v>1074.4000000000001</v>
      </c>
      <c r="G50" s="60">
        <f t="shared" si="5"/>
        <v>1074.4000000000001</v>
      </c>
      <c r="H50" s="60">
        <f t="shared" si="5"/>
        <v>1074.4000000000001</v>
      </c>
      <c r="I50" s="60">
        <f t="shared" si="5"/>
        <v>1074.4000000000001</v>
      </c>
      <c r="J50" s="60">
        <f t="shared" si="5"/>
        <v>1063.4000000000001</v>
      </c>
      <c r="K50" s="60">
        <f t="shared" si="5"/>
        <v>1063.4000000000001</v>
      </c>
      <c r="L50" s="60">
        <f t="shared" si="5"/>
        <v>1075.5999999999999</v>
      </c>
      <c r="M50" s="60">
        <f t="shared" si="5"/>
        <v>1071</v>
      </c>
      <c r="N50" s="60">
        <f t="shared" si="5"/>
        <v>1071.4000000000001</v>
      </c>
      <c r="O50" s="60">
        <f t="shared" si="5"/>
        <v>1071.4000000000001</v>
      </c>
      <c r="P50" s="60">
        <f t="shared" si="5"/>
        <v>1071.4000000000001</v>
      </c>
      <c r="Q50" s="60">
        <f t="shared" si="5"/>
        <v>1067.0999999999999</v>
      </c>
      <c r="R50" s="60">
        <f t="shared" si="5"/>
        <v>1055.5999999999999</v>
      </c>
      <c r="S50" s="60">
        <f t="shared" si="5"/>
        <v>1066.9000000000001</v>
      </c>
      <c r="T50" s="60">
        <f t="shared" si="5"/>
        <v>1066.9000000000001</v>
      </c>
      <c r="U50" s="60">
        <f t="shared" si="5"/>
        <v>1065.4000000000001</v>
      </c>
      <c r="V50" s="60">
        <f t="shared" si="5"/>
        <v>1065.4000000000001</v>
      </c>
      <c r="W50" s="60">
        <f t="shared" si="5"/>
        <v>1065.4000000000001</v>
      </c>
      <c r="X50" s="60">
        <f>SUM(X11:X48)</f>
        <v>1065.7</v>
      </c>
      <c r="Y50" s="60">
        <f>SUM(Y11:Y48)</f>
        <v>1070.3</v>
      </c>
      <c r="Z50" s="60">
        <f>SUM(Z11:Z48)</f>
        <v>1079.8</v>
      </c>
      <c r="AA50" s="60">
        <f>SUM(AA11:AA48)</f>
        <v>1127.3000000000002</v>
      </c>
      <c r="AB50" s="60">
        <f t="shared" si="5"/>
        <v>1127.3000000000002</v>
      </c>
      <c r="AC50" s="60">
        <f t="shared" si="5"/>
        <v>1127.3000000000002</v>
      </c>
      <c r="AD50" s="60">
        <f t="shared" si="5"/>
        <v>1112.5999999999999</v>
      </c>
      <c r="AE50" s="60">
        <f t="shared" si="5"/>
        <v>1096.2</v>
      </c>
      <c r="AF50" s="60">
        <f t="shared" si="5"/>
        <v>1092.2</v>
      </c>
      <c r="AG50" s="61">
        <f>SUM(AG13:AG48)</f>
        <v>922.14</v>
      </c>
      <c r="AH50" s="47">
        <f t="shared" si="2"/>
        <v>1127.3000000000002</v>
      </c>
      <c r="AI50" s="48">
        <f t="shared" si="3"/>
        <v>1019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50</v>
      </c>
      <c r="N52" s="64">
        <v>50</v>
      </c>
      <c r="O52" s="64">
        <v>50</v>
      </c>
      <c r="P52" s="64">
        <v>50</v>
      </c>
      <c r="Q52" s="64">
        <v>50</v>
      </c>
      <c r="R52" s="64">
        <v>50</v>
      </c>
      <c r="S52" s="64">
        <v>50</v>
      </c>
      <c r="T52" s="64">
        <v>50</v>
      </c>
      <c r="U52" s="64">
        <v>50</v>
      </c>
      <c r="V52" s="64">
        <v>50</v>
      </c>
      <c r="W52" s="64">
        <v>50</v>
      </c>
      <c r="X52" s="64">
        <v>50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</v>
      </c>
      <c r="V53" s="66">
        <v>22</v>
      </c>
      <c r="W53" s="66">
        <v>22</v>
      </c>
      <c r="X53" s="66">
        <v>22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528.5</v>
      </c>
      <c r="C54" s="60">
        <f t="shared" si="6"/>
        <v>528.5</v>
      </c>
      <c r="D54" s="60">
        <f t="shared" si="6"/>
        <v>528.5</v>
      </c>
      <c r="E54" s="60">
        <f t="shared" si="6"/>
        <v>528.5</v>
      </c>
      <c r="F54" s="60">
        <f t="shared" si="6"/>
        <v>528.5</v>
      </c>
      <c r="G54" s="60">
        <f t="shared" si="6"/>
        <v>528.5</v>
      </c>
      <c r="H54" s="60">
        <f t="shared" si="6"/>
        <v>528.5</v>
      </c>
      <c r="I54" s="60">
        <f t="shared" si="6"/>
        <v>528.5</v>
      </c>
      <c r="J54" s="60">
        <f t="shared" si="6"/>
        <v>528.5</v>
      </c>
      <c r="K54" s="60">
        <f t="shared" si="6"/>
        <v>528.5</v>
      </c>
      <c r="L54" s="60">
        <f t="shared" si="6"/>
        <v>528.5</v>
      </c>
      <c r="M54" s="60">
        <f t="shared" si="6"/>
        <v>528.5</v>
      </c>
      <c r="N54" s="60">
        <f t="shared" si="6"/>
        <v>528.5</v>
      </c>
      <c r="O54" s="60">
        <f t="shared" si="6"/>
        <v>528.5</v>
      </c>
      <c r="P54" s="60">
        <f t="shared" si="6"/>
        <v>528.5</v>
      </c>
      <c r="Q54" s="60">
        <f t="shared" si="6"/>
        <v>528.5</v>
      </c>
      <c r="R54" s="60">
        <f t="shared" si="6"/>
        <v>528.5</v>
      </c>
      <c r="S54" s="60">
        <f t="shared" si="6"/>
        <v>528.5</v>
      </c>
      <c r="T54" s="60">
        <f t="shared" si="6"/>
        <v>528.5</v>
      </c>
      <c r="U54" s="60">
        <f t="shared" si="6"/>
        <v>528</v>
      </c>
      <c r="V54" s="60">
        <f t="shared" si="6"/>
        <v>528</v>
      </c>
      <c r="W54" s="60">
        <f t="shared" si="6"/>
        <v>528</v>
      </c>
      <c r="X54" s="60">
        <f>SUM(X51:X53)</f>
        <v>528</v>
      </c>
      <c r="Y54" s="60">
        <f>SUM(Y51:Y53)</f>
        <v>538.4</v>
      </c>
      <c r="Z54" s="60">
        <f>SUM(Z51:Z53)</f>
        <v>538.4</v>
      </c>
      <c r="AA54" s="60">
        <f>SUM(AA51:AA53)</f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538.4</v>
      </c>
      <c r="AI54" s="48">
        <f t="shared" si="3"/>
        <v>528</v>
      </c>
      <c r="AK54" s="50"/>
    </row>
    <row r="55" spans="1:41" x14ac:dyDescent="0.25">
      <c r="A55" s="44" t="s">
        <v>63</v>
      </c>
      <c r="B55" s="45">
        <v>121.4</v>
      </c>
      <c r="C55" s="45">
        <v>121.4</v>
      </c>
      <c r="D55" s="45">
        <v>112.1</v>
      </c>
      <c r="E55" s="45">
        <v>112</v>
      </c>
      <c r="F55" s="45">
        <v>112.4</v>
      </c>
      <c r="G55" s="45">
        <v>116.3</v>
      </c>
      <c r="H55" s="45">
        <v>121.3</v>
      </c>
      <c r="I55" s="45">
        <v>121.4</v>
      </c>
      <c r="J55" s="45">
        <v>126.4</v>
      </c>
      <c r="K55" s="45">
        <v>126.4</v>
      </c>
      <c r="L55" s="45">
        <v>131.30000000000001</v>
      </c>
      <c r="M55" s="45">
        <v>131.30000000000001</v>
      </c>
      <c r="N55" s="45">
        <v>131.30000000000001</v>
      </c>
      <c r="O55" s="45">
        <v>121.4</v>
      </c>
      <c r="P55" s="45">
        <v>106.1</v>
      </c>
      <c r="Q55" s="45">
        <v>101.3</v>
      </c>
      <c r="R55" s="45">
        <v>135.5</v>
      </c>
      <c r="S55" s="45">
        <v>136.69999999999999</v>
      </c>
      <c r="T55" s="45">
        <v>131.19999999999999</v>
      </c>
      <c r="U55" s="45">
        <v>131.19999999999999</v>
      </c>
      <c r="V55" s="45">
        <v>120.9</v>
      </c>
      <c r="W55" s="45">
        <v>121.1</v>
      </c>
      <c r="X55" s="45">
        <v>104.9</v>
      </c>
      <c r="Y55" s="45">
        <v>114.7</v>
      </c>
      <c r="Z55" s="45">
        <v>125</v>
      </c>
      <c r="AA55" s="45">
        <v>134</v>
      </c>
      <c r="AB55" s="45">
        <v>134</v>
      </c>
      <c r="AC55" s="45">
        <v>134</v>
      </c>
      <c r="AD55" s="45">
        <v>134</v>
      </c>
      <c r="AE55" s="45">
        <v>121</v>
      </c>
      <c r="AF55" s="45">
        <v>121</v>
      </c>
      <c r="AG55" s="51">
        <v>144</v>
      </c>
      <c r="AH55" s="47">
        <f t="shared" si="2"/>
        <v>136.69999999999999</v>
      </c>
      <c r="AI55" s="48">
        <f t="shared" si="3"/>
        <v>101.3</v>
      </c>
      <c r="AK55" s="50"/>
    </row>
    <row r="56" spans="1:41" x14ac:dyDescent="0.25">
      <c r="A56" s="53" t="s">
        <v>64</v>
      </c>
      <c r="B56" s="64">
        <v>66.099999999999994</v>
      </c>
      <c r="C56" s="64">
        <v>66.099999999999994</v>
      </c>
      <c r="D56" s="64">
        <v>55</v>
      </c>
      <c r="E56" s="64">
        <v>54</v>
      </c>
      <c r="F56" s="64">
        <v>50.7</v>
      </c>
      <c r="G56" s="64">
        <v>50.8</v>
      </c>
      <c r="H56" s="64">
        <v>57.2</v>
      </c>
      <c r="I56" s="64">
        <v>60.2</v>
      </c>
      <c r="J56" s="64">
        <v>65.8</v>
      </c>
      <c r="K56" s="64">
        <v>65.8</v>
      </c>
      <c r="L56" s="64">
        <v>64.5</v>
      </c>
      <c r="M56" s="64">
        <v>64.5</v>
      </c>
      <c r="N56" s="64">
        <v>64.5</v>
      </c>
      <c r="O56" s="64">
        <v>65.400000000000006</v>
      </c>
      <c r="P56" s="64">
        <v>50.4</v>
      </c>
      <c r="Q56" s="64">
        <v>50</v>
      </c>
      <c r="R56" s="64">
        <v>68.8</v>
      </c>
      <c r="S56" s="45">
        <v>69.400000000000006</v>
      </c>
      <c r="T56" s="45">
        <v>63.3</v>
      </c>
      <c r="U56" s="45">
        <v>59.7</v>
      </c>
      <c r="V56" s="45">
        <v>55</v>
      </c>
      <c r="W56" s="45">
        <v>56.8</v>
      </c>
      <c r="X56" s="45">
        <v>48.9</v>
      </c>
      <c r="Y56" s="45">
        <v>49.5</v>
      </c>
      <c r="Z56" s="45">
        <v>64.8</v>
      </c>
      <c r="AA56" s="45">
        <v>70.900000000000006</v>
      </c>
      <c r="AB56" s="45">
        <v>70.900000000000006</v>
      </c>
      <c r="AC56" s="45">
        <v>70.900000000000006</v>
      </c>
      <c r="AD56" s="45">
        <v>70.900000000000006</v>
      </c>
      <c r="AE56" s="45">
        <v>58</v>
      </c>
      <c r="AF56" s="45">
        <v>58</v>
      </c>
      <c r="AG56" s="54">
        <v>70</v>
      </c>
      <c r="AH56" s="47">
        <f t="shared" si="2"/>
        <v>70.900000000000006</v>
      </c>
      <c r="AI56" s="48">
        <f t="shared" si="3"/>
        <v>48.9</v>
      </c>
      <c r="AK56" s="50"/>
    </row>
    <row r="57" spans="1:41" x14ac:dyDescent="0.25">
      <c r="A57" s="53" t="s">
        <v>65</v>
      </c>
      <c r="B57" s="64">
        <v>64.8</v>
      </c>
      <c r="C57" s="64">
        <v>64.8</v>
      </c>
      <c r="D57" s="64">
        <v>55.8</v>
      </c>
      <c r="E57" s="64">
        <v>55</v>
      </c>
      <c r="F57" s="64">
        <v>55.8</v>
      </c>
      <c r="G57" s="64">
        <v>63.1</v>
      </c>
      <c r="H57" s="64">
        <v>63.1</v>
      </c>
      <c r="I57" s="64">
        <v>64.5</v>
      </c>
      <c r="J57" s="64">
        <v>64.3</v>
      </c>
      <c r="K57" s="64">
        <v>64.3</v>
      </c>
      <c r="L57" s="64">
        <v>64.7</v>
      </c>
      <c r="M57" s="64">
        <v>64.7</v>
      </c>
      <c r="N57" s="64">
        <v>64.7</v>
      </c>
      <c r="O57" s="64">
        <v>64.400000000000006</v>
      </c>
      <c r="P57" s="64">
        <v>60.2</v>
      </c>
      <c r="Q57" s="64">
        <v>54.3</v>
      </c>
      <c r="R57" s="64">
        <v>64.900000000000006</v>
      </c>
      <c r="S57" s="45">
        <v>58.1</v>
      </c>
      <c r="T57" s="45">
        <v>65</v>
      </c>
      <c r="U57" s="45">
        <v>65</v>
      </c>
      <c r="V57" s="45">
        <v>61</v>
      </c>
      <c r="W57" s="45">
        <v>50.3</v>
      </c>
      <c r="X57" s="45">
        <v>50.3</v>
      </c>
      <c r="Y57" s="45">
        <v>50.7</v>
      </c>
      <c r="Z57" s="45">
        <v>59.9</v>
      </c>
      <c r="AA57" s="45">
        <v>64.5</v>
      </c>
      <c r="AB57" s="45">
        <v>64.5</v>
      </c>
      <c r="AC57" s="45">
        <v>64.5</v>
      </c>
      <c r="AD57" s="45">
        <v>64.5</v>
      </c>
      <c r="AE57" s="45">
        <v>55</v>
      </c>
      <c r="AF57" s="45">
        <v>55</v>
      </c>
      <c r="AG57" s="54">
        <v>69</v>
      </c>
      <c r="AH57" s="47">
        <f t="shared" si="2"/>
        <v>65</v>
      </c>
      <c r="AI57" s="48">
        <f t="shared" si="3"/>
        <v>50.3</v>
      </c>
      <c r="AK57" s="50"/>
    </row>
    <row r="58" spans="1:41" x14ac:dyDescent="0.25">
      <c r="A58" s="53" t="s">
        <v>66</v>
      </c>
      <c r="B58" s="64">
        <v>51.6</v>
      </c>
      <c r="C58" s="64">
        <v>51.6</v>
      </c>
      <c r="D58" s="64">
        <v>45.9</v>
      </c>
      <c r="E58" s="56">
        <v>45.9</v>
      </c>
      <c r="F58" s="56">
        <v>45.9</v>
      </c>
      <c r="G58" s="56">
        <v>60</v>
      </c>
      <c r="H58" s="56">
        <v>60</v>
      </c>
      <c r="I58" s="56">
        <v>60.4</v>
      </c>
      <c r="J58" s="56">
        <v>53.5</v>
      </c>
      <c r="K58" s="56">
        <v>51.9</v>
      </c>
      <c r="L58" s="56">
        <v>61.2</v>
      </c>
      <c r="M58" s="56">
        <v>61.2</v>
      </c>
      <c r="N58" s="56">
        <v>61.2</v>
      </c>
      <c r="O58" s="64">
        <v>50.6</v>
      </c>
      <c r="P58" s="64">
        <v>42.3</v>
      </c>
      <c r="Q58" s="64">
        <v>41.3</v>
      </c>
      <c r="R58" s="64">
        <v>0</v>
      </c>
      <c r="S58" s="45">
        <v>0</v>
      </c>
      <c r="T58" s="45">
        <v>0</v>
      </c>
      <c r="U58" s="45">
        <v>60.7</v>
      </c>
      <c r="V58" s="45">
        <v>50.4</v>
      </c>
      <c r="W58" s="45">
        <v>50.4</v>
      </c>
      <c r="X58" s="45">
        <v>40.299999999999997</v>
      </c>
      <c r="Y58" s="45">
        <v>40.299999999999997</v>
      </c>
      <c r="Z58" s="45">
        <v>60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52</v>
      </c>
      <c r="AF58" s="45">
        <v>52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64">
        <v>28</v>
      </c>
      <c r="G59" s="64">
        <v>28</v>
      </c>
      <c r="H59" s="64">
        <v>28</v>
      </c>
      <c r="I59" s="64">
        <v>28</v>
      </c>
      <c r="J59" s="64">
        <v>28</v>
      </c>
      <c r="K59" s="64">
        <v>28</v>
      </c>
      <c r="L59" s="64">
        <v>28</v>
      </c>
      <c r="M59" s="64">
        <v>28</v>
      </c>
      <c r="N59" s="64">
        <v>28</v>
      </c>
      <c r="O59" s="64">
        <v>28</v>
      </c>
      <c r="P59" s="64">
        <v>28</v>
      </c>
      <c r="Q59" s="64">
        <v>28</v>
      </c>
      <c r="R59" s="64">
        <v>28</v>
      </c>
      <c r="S59" s="64">
        <v>28</v>
      </c>
      <c r="T59" s="45">
        <v>28</v>
      </c>
      <c r="U59" s="45">
        <v>0</v>
      </c>
      <c r="V59" s="45">
        <v>15</v>
      </c>
      <c r="W59" s="45">
        <v>15</v>
      </c>
      <c r="X59" s="45">
        <v>15</v>
      </c>
      <c r="Y59" s="45">
        <v>15</v>
      </c>
      <c r="Z59" s="45">
        <v>15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0</v>
      </c>
      <c r="O60" s="64">
        <v>5.0999999999999996</v>
      </c>
      <c r="P60" s="64">
        <v>5.0999999999999996</v>
      </c>
      <c r="Q60" s="64">
        <v>11.5</v>
      </c>
      <c r="R60" s="64">
        <v>13.5</v>
      </c>
      <c r="S60" s="64">
        <v>13.5</v>
      </c>
      <c r="T60" s="45">
        <v>4.9000000000000004</v>
      </c>
      <c r="U60" s="45">
        <v>3.4</v>
      </c>
      <c r="V60" s="45">
        <v>2.6</v>
      </c>
      <c r="W60" s="45">
        <v>2.6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13.5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>
        <v>12</v>
      </c>
      <c r="V61" s="64">
        <v>12</v>
      </c>
      <c r="W61" s="64">
        <v>12</v>
      </c>
      <c r="X61" s="64">
        <v>12</v>
      </c>
      <c r="Y61" s="64">
        <v>12</v>
      </c>
      <c r="Z61" s="64">
        <v>13</v>
      </c>
      <c r="AA61" s="64">
        <v>13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0</v>
      </c>
      <c r="R62" s="64">
        <v>0</v>
      </c>
      <c r="S62" s="64">
        <v>0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9.1999999999999993</v>
      </c>
      <c r="C63" s="64">
        <v>9.1999999999999993</v>
      </c>
      <c r="D63" s="64">
        <v>9.1999999999999993</v>
      </c>
      <c r="E63" s="64">
        <v>9.1999999999999993</v>
      </c>
      <c r="F63" s="64">
        <v>9.1999999999999993</v>
      </c>
      <c r="G63" s="64">
        <v>9.1999999999999993</v>
      </c>
      <c r="H63" s="64">
        <v>9.1999999999999993</v>
      </c>
      <c r="I63" s="64">
        <v>9.1999999999999993</v>
      </c>
      <c r="J63" s="64">
        <v>9.1999999999999993</v>
      </c>
      <c r="K63" s="64">
        <v>9.1999999999999993</v>
      </c>
      <c r="L63" s="64">
        <v>9.1999999999999993</v>
      </c>
      <c r="M63" s="64">
        <v>9.1999999999999993</v>
      </c>
      <c r="N63" s="64">
        <v>9.1999999999999993</v>
      </c>
      <c r="O63" s="64">
        <v>9.1999999999999993</v>
      </c>
      <c r="P63" s="64">
        <v>9.1999999999999993</v>
      </c>
      <c r="Q63" s="64">
        <v>9.1999999999999993</v>
      </c>
      <c r="R63" s="64">
        <v>9.1999999999999993</v>
      </c>
      <c r="S63" s="64">
        <v>9.1999999999999993</v>
      </c>
      <c r="T63" s="64">
        <v>9.1999999999999993</v>
      </c>
      <c r="U63" s="64">
        <v>9.1999999999999993</v>
      </c>
      <c r="V63" s="64">
        <v>9.1999999999999993</v>
      </c>
      <c r="W63" s="64">
        <v>9.1999999999999993</v>
      </c>
      <c r="X63" s="64">
        <v>9.1999999999999993</v>
      </c>
      <c r="Y63" s="64">
        <v>9.1999999999999993</v>
      </c>
      <c r="Z63" s="64">
        <v>10.9</v>
      </c>
      <c r="AA63" s="64">
        <v>11</v>
      </c>
      <c r="AB63" s="64">
        <v>11</v>
      </c>
      <c r="AC63" s="64">
        <v>11</v>
      </c>
      <c r="AD63" s="64">
        <v>11</v>
      </c>
      <c r="AE63" s="64">
        <v>11</v>
      </c>
      <c r="AF63" s="64">
        <v>11</v>
      </c>
      <c r="AG63" s="54">
        <v>14.1</v>
      </c>
      <c r="AH63" s="47">
        <f t="shared" si="2"/>
        <v>11</v>
      </c>
      <c r="AI63" s="48">
        <f t="shared" si="3"/>
        <v>9.1999999999999993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12.8</v>
      </c>
      <c r="C64" s="64">
        <v>12.8</v>
      </c>
      <c r="D64" s="64">
        <v>12.8</v>
      </c>
      <c r="E64" s="64">
        <v>12.8</v>
      </c>
      <c r="F64" s="64">
        <v>12.8</v>
      </c>
      <c r="G64" s="64">
        <v>12.8</v>
      </c>
      <c r="H64" s="64">
        <v>12.8</v>
      </c>
      <c r="I64" s="64">
        <v>12.8</v>
      </c>
      <c r="J64" s="64">
        <v>12.8</v>
      </c>
      <c r="K64" s="64">
        <v>12.8</v>
      </c>
      <c r="L64" s="64">
        <v>12.8</v>
      </c>
      <c r="M64" s="64">
        <v>10.199999999999999</v>
      </c>
      <c r="N64" s="64">
        <v>10.199999999999999</v>
      </c>
      <c r="O64" s="64">
        <v>10.199999999999999</v>
      </c>
      <c r="P64" s="64">
        <v>10.199999999999999</v>
      </c>
      <c r="Q64" s="64">
        <v>10.199999999999999</v>
      </c>
      <c r="R64" s="64">
        <v>10.199999999999999</v>
      </c>
      <c r="S64" s="64">
        <v>10.199999999999999</v>
      </c>
      <c r="T64" s="64">
        <v>10.199999999999999</v>
      </c>
      <c r="U64" s="64">
        <v>10.199999999999999</v>
      </c>
      <c r="V64" s="64">
        <v>10.199999999999999</v>
      </c>
      <c r="W64" s="64">
        <v>10.199999999999999</v>
      </c>
      <c r="X64" s="64">
        <v>10.199999999999999</v>
      </c>
      <c r="Y64" s="64">
        <v>9.9</v>
      </c>
      <c r="Z64" s="64">
        <v>10.199999999999999</v>
      </c>
      <c r="AA64" s="64">
        <v>13.8</v>
      </c>
      <c r="AB64" s="64">
        <v>13.8</v>
      </c>
      <c r="AC64" s="64">
        <v>13.8</v>
      </c>
      <c r="AD64" s="64">
        <v>13.8</v>
      </c>
      <c r="AE64" s="64">
        <v>13.8</v>
      </c>
      <c r="AF64" s="64">
        <v>13.8</v>
      </c>
      <c r="AG64" s="54">
        <v>14</v>
      </c>
      <c r="AH64" s="47">
        <f t="shared" si="2"/>
        <v>13.8</v>
      </c>
      <c r="AI64" s="48">
        <f t="shared" si="3"/>
        <v>9.9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389.64000000000004</v>
      </c>
      <c r="C68" s="60">
        <f t="shared" si="7"/>
        <v>389.64000000000004</v>
      </c>
      <c r="D68" s="60">
        <f t="shared" si="7"/>
        <v>354.53999999999996</v>
      </c>
      <c r="E68" s="60">
        <f t="shared" si="7"/>
        <v>352.64</v>
      </c>
      <c r="F68" s="60">
        <f t="shared" si="7"/>
        <v>350.54</v>
      </c>
      <c r="G68" s="60">
        <f t="shared" si="7"/>
        <v>375.94</v>
      </c>
      <c r="H68" s="60">
        <f t="shared" si="7"/>
        <v>387.34000000000003</v>
      </c>
      <c r="I68" s="60">
        <f t="shared" si="7"/>
        <v>392.24</v>
      </c>
      <c r="J68" s="60">
        <f t="shared" si="7"/>
        <v>395.74</v>
      </c>
      <c r="K68" s="60">
        <f t="shared" si="7"/>
        <v>394.14</v>
      </c>
      <c r="L68" s="60">
        <f t="shared" si="7"/>
        <v>407.44</v>
      </c>
      <c r="M68" s="60">
        <f t="shared" si="7"/>
        <v>404.84</v>
      </c>
      <c r="N68" s="60">
        <f t="shared" si="7"/>
        <v>404.84</v>
      </c>
      <c r="O68" s="60">
        <f t="shared" si="7"/>
        <v>390.04</v>
      </c>
      <c r="P68" s="60">
        <f t="shared" si="7"/>
        <v>347.24</v>
      </c>
      <c r="Q68" s="60">
        <f t="shared" si="7"/>
        <v>336.54</v>
      </c>
      <c r="R68" s="60">
        <f t="shared" si="7"/>
        <v>360.84000000000003</v>
      </c>
      <c r="S68" s="60">
        <f t="shared" si="7"/>
        <v>355.84</v>
      </c>
      <c r="T68" s="60">
        <f t="shared" si="7"/>
        <v>347.53999999999996</v>
      </c>
      <c r="U68" s="60">
        <f t="shared" si="7"/>
        <v>375.13999999999993</v>
      </c>
      <c r="V68" s="60">
        <f t="shared" si="7"/>
        <v>360.04</v>
      </c>
      <c r="W68" s="60">
        <f t="shared" si="7"/>
        <v>351.34</v>
      </c>
      <c r="X68" s="60">
        <f>SUM(X55:X67)</f>
        <v>314.54000000000002</v>
      </c>
      <c r="Y68" s="60">
        <f>SUM(Y55:Y67)</f>
        <v>325.03999999999996</v>
      </c>
      <c r="Z68" s="60">
        <f>SUM(Z55:Z67)</f>
        <v>382.54</v>
      </c>
      <c r="AA68" s="60">
        <f>SUM(AA55:AA67)</f>
        <v>420.34</v>
      </c>
      <c r="AB68" s="60">
        <f t="shared" si="7"/>
        <v>420.34</v>
      </c>
      <c r="AC68" s="60">
        <f t="shared" si="7"/>
        <v>420.34</v>
      </c>
      <c r="AD68" s="60">
        <f t="shared" si="7"/>
        <v>420.34</v>
      </c>
      <c r="AE68" s="60">
        <f t="shared" si="7"/>
        <v>375.54</v>
      </c>
      <c r="AF68" s="60">
        <f t="shared" si="7"/>
        <v>375.54</v>
      </c>
      <c r="AG68" s="61">
        <f t="shared" si="7"/>
        <v>489.91</v>
      </c>
      <c r="AH68" s="47">
        <f t="shared" si="2"/>
        <v>420.34</v>
      </c>
      <c r="AI68" s="48">
        <f t="shared" si="3"/>
        <v>314.54000000000002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>
        <v>4.5999999999999996</v>
      </c>
      <c r="Y70" s="64">
        <v>0</v>
      </c>
      <c r="Z70" s="64">
        <v>0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4.5999999999999996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>
        <v>1.7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 t="shared" si="8"/>
        <v>0</v>
      </c>
      <c r="T72" s="60">
        <f t="shared" si="8"/>
        <v>0</v>
      </c>
      <c r="U72" s="60">
        <f t="shared" si="8"/>
        <v>0</v>
      </c>
      <c r="V72" s="60">
        <f t="shared" si="8"/>
        <v>0</v>
      </c>
      <c r="W72" s="60">
        <f t="shared" si="8"/>
        <v>0</v>
      </c>
      <c r="X72" s="60">
        <f>X69+X70+X71</f>
        <v>6.3</v>
      </c>
      <c r="Y72" s="60">
        <f t="shared" si="8"/>
        <v>0</v>
      </c>
      <c r="Z72" s="60">
        <f>Z69+Z70+Z71</f>
        <v>0</v>
      </c>
      <c r="AA72" s="60">
        <f>SUM(AA69:AA71)</f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6.3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2.5</v>
      </c>
      <c r="C73" s="45">
        <v>-1.2</v>
      </c>
      <c r="D73" s="45">
        <v>-5</v>
      </c>
      <c r="E73" s="45">
        <v>-10</v>
      </c>
      <c r="F73" s="45">
        <v>-12</v>
      </c>
      <c r="G73" s="45">
        <v>-13</v>
      </c>
      <c r="H73" s="45">
        <v>-10</v>
      </c>
      <c r="I73" s="45">
        <v>-27</v>
      </c>
      <c r="J73" s="45">
        <v>-26</v>
      </c>
      <c r="K73" s="45">
        <v>-38</v>
      </c>
      <c r="L73" s="45">
        <v>-49</v>
      </c>
      <c r="M73" s="45">
        <v>-50</v>
      </c>
      <c r="N73" s="45">
        <v>-48</v>
      </c>
      <c r="O73" s="45">
        <v>-34</v>
      </c>
      <c r="P73" s="45">
        <v>-31</v>
      </c>
      <c r="Q73" s="45">
        <v>-12.1</v>
      </c>
      <c r="R73" s="45">
        <v>-9.4</v>
      </c>
      <c r="S73" s="45">
        <v>-16.3</v>
      </c>
      <c r="T73" s="45">
        <v>-13.2</v>
      </c>
      <c r="U73" s="45">
        <v>-20.9</v>
      </c>
      <c r="V73" s="45">
        <v>-51.9</v>
      </c>
      <c r="W73" s="45">
        <v>-50.3</v>
      </c>
      <c r="X73" s="45">
        <v>-25.6</v>
      </c>
      <c r="Y73" s="45">
        <v>-28.7</v>
      </c>
      <c r="Z73" s="45">
        <v>-7.6</v>
      </c>
      <c r="AA73" s="45">
        <v>-3.3</v>
      </c>
      <c r="AB73" s="45">
        <v>-28.9</v>
      </c>
      <c r="AC73" s="45">
        <v>-28.9</v>
      </c>
      <c r="AD73" s="45">
        <v>-27.9</v>
      </c>
      <c r="AE73" s="45">
        <v>-33</v>
      </c>
      <c r="AF73" s="45">
        <v>-42</v>
      </c>
      <c r="AG73" s="51"/>
      <c r="AH73" s="47">
        <f t="shared" si="2"/>
        <v>2.5</v>
      </c>
      <c r="AI73" s="48">
        <f t="shared" si="3"/>
        <v>-51.9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-351.7</v>
      </c>
      <c r="C75" s="64">
        <v>-336</v>
      </c>
      <c r="D75" s="64">
        <v>-328.7</v>
      </c>
      <c r="E75" s="64">
        <v>-394</v>
      </c>
      <c r="F75" s="64">
        <v>-414</v>
      </c>
      <c r="G75" s="64">
        <v>-419.7</v>
      </c>
      <c r="H75" s="64">
        <v>-451.8</v>
      </c>
      <c r="I75" s="64">
        <v>-456.7</v>
      </c>
      <c r="J75" s="64">
        <v>-476</v>
      </c>
      <c r="K75" s="64">
        <v>-461.6</v>
      </c>
      <c r="L75" s="64">
        <v>-478.5</v>
      </c>
      <c r="M75" s="64">
        <v>-475.4</v>
      </c>
      <c r="N75" s="64">
        <v>-463.8</v>
      </c>
      <c r="O75" s="64">
        <v>-475.3</v>
      </c>
      <c r="P75" s="64">
        <v>-432</v>
      </c>
      <c r="Q75" s="64">
        <v>-423.6</v>
      </c>
      <c r="R75" s="64">
        <v>-442.3</v>
      </c>
      <c r="S75" s="64">
        <v>-464.7</v>
      </c>
      <c r="T75" s="64">
        <v>-474.2</v>
      </c>
      <c r="U75" s="64">
        <v>-473.3</v>
      </c>
      <c r="V75" s="64">
        <v>-500</v>
      </c>
      <c r="W75" s="64">
        <v>-506</v>
      </c>
      <c r="X75" s="64">
        <v>-470</v>
      </c>
      <c r="Y75" s="64">
        <v>-417</v>
      </c>
      <c r="Z75" s="64">
        <v>-369</v>
      </c>
      <c r="AA75" s="64">
        <v>-423</v>
      </c>
      <c r="AB75" s="64">
        <v>-421</v>
      </c>
      <c r="AC75" s="64">
        <v>-421</v>
      </c>
      <c r="AD75" s="64">
        <v>-383</v>
      </c>
      <c r="AE75" s="64">
        <v>-412</v>
      </c>
      <c r="AF75" s="64">
        <v>-355</v>
      </c>
      <c r="AG75" s="74"/>
      <c r="AH75" s="47">
        <f t="shared" si="2"/>
        <v>-328.7</v>
      </c>
      <c r="AI75" s="48">
        <f t="shared" si="3"/>
        <v>-506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>
        <v>0</v>
      </c>
      <c r="AB77" s="45">
        <v>0</v>
      </c>
      <c r="AC77" s="45">
        <v>0</v>
      </c>
      <c r="AD77" s="45">
        <v>0</v>
      </c>
      <c r="AE77" s="75">
        <v>0</v>
      </c>
      <c r="AF77" s="75">
        <v>0</v>
      </c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>
        <v>0</v>
      </c>
      <c r="AB78" s="76">
        <v>0</v>
      </c>
      <c r="AC78" s="76">
        <v>0</v>
      </c>
      <c r="AD78" s="76">
        <v>0</v>
      </c>
      <c r="AE78" s="75">
        <v>0</v>
      </c>
      <c r="AF78" s="75">
        <v>0</v>
      </c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>
        <v>0</v>
      </c>
      <c r="AB79" s="76">
        <v>0</v>
      </c>
      <c r="AC79" s="76">
        <v>0</v>
      </c>
      <c r="AD79" s="76">
        <v>0</v>
      </c>
      <c r="AE79" s="75">
        <v>0</v>
      </c>
      <c r="AF79" s="75">
        <v>0</v>
      </c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>
        <v>0</v>
      </c>
      <c r="AB80" s="76">
        <v>0</v>
      </c>
      <c r="AC80" s="76">
        <v>0</v>
      </c>
      <c r="AD80" s="76">
        <v>0</v>
      </c>
      <c r="AE80" s="75">
        <v>0</v>
      </c>
      <c r="AF80" s="75">
        <v>0</v>
      </c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>
        <v>0</v>
      </c>
      <c r="AB81" s="76">
        <v>0</v>
      </c>
      <c r="AC81" s="76">
        <v>0</v>
      </c>
      <c r="AD81" s="76">
        <v>0</v>
      </c>
      <c r="AE81" s="75">
        <v>0</v>
      </c>
      <c r="AF81" s="75">
        <v>0</v>
      </c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>
        <v>0</v>
      </c>
      <c r="AB82" s="76">
        <v>0</v>
      </c>
      <c r="AC82" s="76">
        <v>0</v>
      </c>
      <c r="AD82" s="76">
        <v>0</v>
      </c>
      <c r="AE82" s="75">
        <v>0</v>
      </c>
      <c r="AF82" s="75">
        <v>0</v>
      </c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>
        <v>0</v>
      </c>
      <c r="AB83" s="76">
        <v>0</v>
      </c>
      <c r="AC83" s="76">
        <v>0</v>
      </c>
      <c r="AD83" s="76">
        <v>0</v>
      </c>
      <c r="AE83" s="75">
        <v>0</v>
      </c>
      <c r="AF83" s="75">
        <v>0</v>
      </c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1">SUMIF(B73:B83,"&gt;0")</f>
        <v>2.5</v>
      </c>
      <c r="C84" s="60">
        <f t="shared" si="11"/>
        <v>0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>SUMIF(X73:X83,"&gt;0")</f>
        <v>0</v>
      </c>
      <c r="Y84" s="60">
        <f t="shared" si="11"/>
        <v>0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0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2.5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1967.44</v>
      </c>
      <c r="C89" s="94">
        <f t="shared" si="12"/>
        <v>1964.94</v>
      </c>
      <c r="D89" s="94">
        <f t="shared" si="12"/>
        <v>1902.04</v>
      </c>
      <c r="E89" s="94">
        <f t="shared" si="12"/>
        <v>1952.7399999999998</v>
      </c>
      <c r="F89" s="94">
        <f t="shared" si="12"/>
        <v>1953.44</v>
      </c>
      <c r="G89" s="94">
        <f t="shared" si="12"/>
        <v>1978.8400000000001</v>
      </c>
      <c r="H89" s="94">
        <f t="shared" si="12"/>
        <v>1990.2400000000002</v>
      </c>
      <c r="I89" s="94">
        <f t="shared" si="12"/>
        <v>1995.14</v>
      </c>
      <c r="J89" s="94">
        <f t="shared" si="12"/>
        <v>1987.64</v>
      </c>
      <c r="K89" s="94">
        <f t="shared" si="12"/>
        <v>1986.04</v>
      </c>
      <c r="L89" s="94">
        <f t="shared" si="12"/>
        <v>2011.54</v>
      </c>
      <c r="M89" s="94">
        <f t="shared" si="12"/>
        <v>2004.34</v>
      </c>
      <c r="N89" s="94">
        <f t="shared" si="12"/>
        <v>2004.74</v>
      </c>
      <c r="O89" s="94">
        <f t="shared" si="12"/>
        <v>1989.94</v>
      </c>
      <c r="P89" s="94">
        <f t="shared" si="12"/>
        <v>1947.14</v>
      </c>
      <c r="Q89" s="94">
        <f t="shared" si="12"/>
        <v>1932.1399999999999</v>
      </c>
      <c r="R89" s="94">
        <f t="shared" si="12"/>
        <v>1944.94</v>
      </c>
      <c r="S89" s="94">
        <f t="shared" si="12"/>
        <v>1951.24</v>
      </c>
      <c r="T89" s="94">
        <f t="shared" si="12"/>
        <v>1942.94</v>
      </c>
      <c r="U89" s="94">
        <f t="shared" si="12"/>
        <v>1968.54</v>
      </c>
      <c r="V89" s="94">
        <f t="shared" si="12"/>
        <v>1953.44</v>
      </c>
      <c r="W89" s="94">
        <f t="shared" si="12"/>
        <v>1944.74</v>
      </c>
      <c r="X89" s="94">
        <f>X50+X54+X72+X68+X84+X88</f>
        <v>1914.54</v>
      </c>
      <c r="Y89" s="94">
        <f t="shared" si="12"/>
        <v>1933.7399999999998</v>
      </c>
      <c r="Z89" s="94">
        <f t="shared" si="12"/>
        <v>2000.7399999999998</v>
      </c>
      <c r="AA89" s="94">
        <f t="shared" si="12"/>
        <v>2086.0400000000004</v>
      </c>
      <c r="AB89" s="94">
        <f t="shared" si="12"/>
        <v>2086.0400000000004</v>
      </c>
      <c r="AC89" s="94">
        <f t="shared" si="12"/>
        <v>2086.0400000000004</v>
      </c>
      <c r="AD89" s="94">
        <f t="shared" si="12"/>
        <v>2071.34</v>
      </c>
      <c r="AE89" s="94">
        <f t="shared" si="12"/>
        <v>2010.1399999999999</v>
      </c>
      <c r="AF89" s="94">
        <f t="shared" si="12"/>
        <v>2006.1399999999999</v>
      </c>
      <c r="AG89" s="61">
        <f t="shared" si="12"/>
        <v>2111.5500000000002</v>
      </c>
      <c r="AH89" s="47">
        <f t="shared" si="9"/>
        <v>2086.0400000000004</v>
      </c>
      <c r="AI89" s="48">
        <f t="shared" si="10"/>
        <v>1902.04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>
        <v>60</v>
      </c>
      <c r="AB90" s="96">
        <v>60</v>
      </c>
      <c r="AC90" s="96"/>
      <c r="AD90" s="96"/>
      <c r="AE90" s="96"/>
      <c r="AF90" s="96"/>
      <c r="AG90" s="87"/>
      <c r="AH90" s="47">
        <f t="shared" si="9"/>
        <v>60</v>
      </c>
      <c r="AI90" s="48">
        <f t="shared" si="10"/>
        <v>60</v>
      </c>
    </row>
    <row r="91" spans="1:40" ht="15.75" thickBot="1" x14ac:dyDescent="0.3">
      <c r="A91" s="73" t="s">
        <v>102</v>
      </c>
      <c r="B91" s="94">
        <f t="shared" ref="B91:AF91" si="13">B89+B90</f>
        <v>1967.44</v>
      </c>
      <c r="C91" s="94">
        <f t="shared" si="13"/>
        <v>1964.94</v>
      </c>
      <c r="D91" s="94">
        <f t="shared" si="13"/>
        <v>1902.04</v>
      </c>
      <c r="E91" s="94">
        <f t="shared" si="13"/>
        <v>1952.7399999999998</v>
      </c>
      <c r="F91" s="94">
        <f t="shared" si="13"/>
        <v>1953.44</v>
      </c>
      <c r="G91" s="94">
        <f t="shared" si="13"/>
        <v>1978.8400000000001</v>
      </c>
      <c r="H91" s="94">
        <f t="shared" si="13"/>
        <v>1990.2400000000002</v>
      </c>
      <c r="I91" s="94">
        <f t="shared" si="13"/>
        <v>1995.14</v>
      </c>
      <c r="J91" s="94">
        <f t="shared" si="13"/>
        <v>1987.64</v>
      </c>
      <c r="K91" s="94">
        <f t="shared" si="13"/>
        <v>1986.04</v>
      </c>
      <c r="L91" s="94">
        <f t="shared" si="13"/>
        <v>2011.54</v>
      </c>
      <c r="M91" s="94">
        <f t="shared" si="13"/>
        <v>2004.34</v>
      </c>
      <c r="N91" s="94">
        <f t="shared" si="13"/>
        <v>2004.74</v>
      </c>
      <c r="O91" s="94">
        <f t="shared" si="13"/>
        <v>1989.94</v>
      </c>
      <c r="P91" s="94">
        <f t="shared" si="13"/>
        <v>1947.14</v>
      </c>
      <c r="Q91" s="94">
        <f t="shared" si="13"/>
        <v>1932.1399999999999</v>
      </c>
      <c r="R91" s="94">
        <f t="shared" si="13"/>
        <v>1944.94</v>
      </c>
      <c r="S91" s="94">
        <f t="shared" si="13"/>
        <v>1951.24</v>
      </c>
      <c r="T91" s="94">
        <f t="shared" si="13"/>
        <v>1942.94</v>
      </c>
      <c r="U91" s="94">
        <f t="shared" si="13"/>
        <v>1968.54</v>
      </c>
      <c r="V91" s="94">
        <f t="shared" si="13"/>
        <v>1953.44</v>
      </c>
      <c r="W91" s="94">
        <f t="shared" si="13"/>
        <v>1944.74</v>
      </c>
      <c r="X91" s="94">
        <f>X89+X90</f>
        <v>1914.54</v>
      </c>
      <c r="Y91" s="94">
        <f t="shared" si="13"/>
        <v>1933.7399999999998</v>
      </c>
      <c r="Z91" s="94">
        <f t="shared" si="13"/>
        <v>2000.7399999999998</v>
      </c>
      <c r="AA91" s="94">
        <f t="shared" si="13"/>
        <v>2146.0400000000004</v>
      </c>
      <c r="AB91" s="94">
        <f t="shared" si="13"/>
        <v>2146.0400000000004</v>
      </c>
      <c r="AC91" s="94">
        <f t="shared" si="13"/>
        <v>2086.0400000000004</v>
      </c>
      <c r="AD91" s="94">
        <f t="shared" si="13"/>
        <v>2071.34</v>
      </c>
      <c r="AE91" s="94">
        <f t="shared" si="13"/>
        <v>2010.1399999999999</v>
      </c>
      <c r="AF91" s="94">
        <f t="shared" si="13"/>
        <v>2006.1399999999999</v>
      </c>
      <c r="AG91" s="87">
        <f>AG88+AG84+AG72+AG68+AG50+AG90</f>
        <v>1573.45</v>
      </c>
      <c r="AH91" s="47">
        <f t="shared" si="9"/>
        <v>2146.0400000000004</v>
      </c>
      <c r="AI91" s="48">
        <f t="shared" si="10"/>
        <v>1902.04</v>
      </c>
    </row>
    <row r="92" spans="1:40" ht="15.75" thickBot="1" x14ac:dyDescent="0.3">
      <c r="A92" s="73" t="s">
        <v>103</v>
      </c>
      <c r="B92" s="94">
        <f t="shared" ref="B92:AF92" si="14">B91-B99</f>
        <v>2319.14</v>
      </c>
      <c r="C92" s="94">
        <f t="shared" si="14"/>
        <v>2300.94</v>
      </c>
      <c r="D92" s="94">
        <f t="shared" si="14"/>
        <v>2230.7399999999998</v>
      </c>
      <c r="E92" s="94">
        <f t="shared" si="14"/>
        <v>2346.7399999999998</v>
      </c>
      <c r="F92" s="94">
        <f t="shared" si="14"/>
        <v>2367.44</v>
      </c>
      <c r="G92" s="94">
        <f t="shared" si="14"/>
        <v>2398.54</v>
      </c>
      <c r="H92" s="94">
        <f t="shared" si="14"/>
        <v>2442.0400000000004</v>
      </c>
      <c r="I92" s="94">
        <f t="shared" si="14"/>
        <v>2451.84</v>
      </c>
      <c r="J92" s="94">
        <f t="shared" si="14"/>
        <v>2463.6400000000003</v>
      </c>
      <c r="K92" s="94">
        <f t="shared" si="14"/>
        <v>2447.64</v>
      </c>
      <c r="L92" s="94">
        <f t="shared" si="14"/>
        <v>2490.04</v>
      </c>
      <c r="M92" s="94">
        <f t="shared" si="14"/>
        <v>2479.7399999999998</v>
      </c>
      <c r="N92" s="94">
        <f t="shared" si="14"/>
        <v>2468.54</v>
      </c>
      <c r="O92" s="94">
        <f t="shared" si="14"/>
        <v>2465.2400000000002</v>
      </c>
      <c r="P92" s="94">
        <f t="shared" si="14"/>
        <v>2379.1400000000003</v>
      </c>
      <c r="Q92" s="94">
        <f t="shared" si="14"/>
        <v>2355.7399999999998</v>
      </c>
      <c r="R92" s="94">
        <f t="shared" si="14"/>
        <v>2387.2400000000002</v>
      </c>
      <c r="S92" s="94">
        <f t="shared" si="14"/>
        <v>2415.94</v>
      </c>
      <c r="T92" s="94">
        <f t="shared" si="14"/>
        <v>2417.14</v>
      </c>
      <c r="U92" s="94">
        <f t="shared" si="14"/>
        <v>2441.84</v>
      </c>
      <c r="V92" s="94">
        <f t="shared" si="14"/>
        <v>2453.44</v>
      </c>
      <c r="W92" s="94">
        <f t="shared" si="14"/>
        <v>2450.7399999999998</v>
      </c>
      <c r="X92" s="94">
        <f>X91-X99</f>
        <v>2384.54</v>
      </c>
      <c r="Y92" s="94">
        <f t="shared" si="14"/>
        <v>2350.7399999999998</v>
      </c>
      <c r="Z92" s="94">
        <f t="shared" si="14"/>
        <v>2369.7399999999998</v>
      </c>
      <c r="AA92" s="94">
        <f t="shared" si="14"/>
        <v>2569.0400000000004</v>
      </c>
      <c r="AB92" s="94">
        <f t="shared" si="14"/>
        <v>2567.0400000000004</v>
      </c>
      <c r="AC92" s="94">
        <f t="shared" si="14"/>
        <v>2507.0400000000004</v>
      </c>
      <c r="AD92" s="94">
        <f t="shared" si="14"/>
        <v>2454.34</v>
      </c>
      <c r="AE92" s="94">
        <f t="shared" si="14"/>
        <v>2422.14</v>
      </c>
      <c r="AF92" s="94">
        <f t="shared" si="14"/>
        <v>2361.14</v>
      </c>
      <c r="AG92" s="87"/>
      <c r="AH92" s="47">
        <f t="shared" si="9"/>
        <v>2569.0400000000004</v>
      </c>
      <c r="AI92" s="48">
        <f t="shared" si="10"/>
        <v>2230.7399999999998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-351.7</v>
      </c>
      <c r="C99" s="60">
        <f t="shared" ref="C99:AF99" si="15">C75</f>
        <v>-336</v>
      </c>
      <c r="D99" s="60">
        <f t="shared" si="15"/>
        <v>-328.7</v>
      </c>
      <c r="E99" s="60">
        <f t="shared" si="15"/>
        <v>-394</v>
      </c>
      <c r="F99" s="60">
        <f t="shared" si="15"/>
        <v>-414</v>
      </c>
      <c r="G99" s="60">
        <f t="shared" si="15"/>
        <v>-419.7</v>
      </c>
      <c r="H99" s="60">
        <f t="shared" si="15"/>
        <v>-451.8</v>
      </c>
      <c r="I99" s="60">
        <f t="shared" si="15"/>
        <v>-456.7</v>
      </c>
      <c r="J99" s="60">
        <f t="shared" si="15"/>
        <v>-476</v>
      </c>
      <c r="K99" s="60">
        <f t="shared" si="15"/>
        <v>-461.6</v>
      </c>
      <c r="L99" s="60">
        <f t="shared" si="15"/>
        <v>-478.5</v>
      </c>
      <c r="M99" s="60">
        <f t="shared" si="15"/>
        <v>-475.4</v>
      </c>
      <c r="N99" s="60">
        <f t="shared" si="15"/>
        <v>-463.8</v>
      </c>
      <c r="O99" s="60">
        <f t="shared" si="15"/>
        <v>-475.3</v>
      </c>
      <c r="P99" s="60">
        <f t="shared" si="15"/>
        <v>-432</v>
      </c>
      <c r="Q99" s="60">
        <f t="shared" si="15"/>
        <v>-423.6</v>
      </c>
      <c r="R99" s="60">
        <f t="shared" si="15"/>
        <v>-442.3</v>
      </c>
      <c r="S99" s="60">
        <f t="shared" si="15"/>
        <v>-464.7</v>
      </c>
      <c r="T99" s="60">
        <f t="shared" si="15"/>
        <v>-474.2</v>
      </c>
      <c r="U99" s="60">
        <f t="shared" si="15"/>
        <v>-473.3</v>
      </c>
      <c r="V99" s="60">
        <f t="shared" si="15"/>
        <v>-500</v>
      </c>
      <c r="W99" s="60">
        <f t="shared" si="15"/>
        <v>-506</v>
      </c>
      <c r="X99" s="60">
        <f>X75</f>
        <v>-470</v>
      </c>
      <c r="Y99" s="60">
        <f t="shared" si="15"/>
        <v>-417</v>
      </c>
      <c r="Z99" s="60">
        <f t="shared" si="15"/>
        <v>-369</v>
      </c>
      <c r="AA99" s="60">
        <f t="shared" si="15"/>
        <v>-423</v>
      </c>
      <c r="AB99" s="60">
        <f t="shared" si="15"/>
        <v>-421</v>
      </c>
      <c r="AC99" s="60">
        <f t="shared" si="15"/>
        <v>-421</v>
      </c>
      <c r="AD99" s="60">
        <f t="shared" si="15"/>
        <v>-383</v>
      </c>
      <c r="AE99" s="60">
        <f t="shared" si="15"/>
        <v>-412</v>
      </c>
      <c r="AF99" s="60">
        <f t="shared" si="15"/>
        <v>-355</v>
      </c>
      <c r="AG99" s="87"/>
      <c r="AH99" s="47">
        <f t="shared" si="9"/>
        <v>-328.7</v>
      </c>
      <c r="AI99" s="48">
        <f t="shared" si="10"/>
        <v>-506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354.2</v>
      </c>
      <c r="C100" s="60">
        <f t="shared" si="16"/>
        <v>336</v>
      </c>
      <c r="D100" s="60">
        <f t="shared" si="16"/>
        <v>328.7</v>
      </c>
      <c r="E100" s="60">
        <f t="shared" si="16"/>
        <v>394</v>
      </c>
      <c r="F100" s="60">
        <f t="shared" si="16"/>
        <v>414</v>
      </c>
      <c r="G100" s="60">
        <f t="shared" si="16"/>
        <v>419.7</v>
      </c>
      <c r="H100" s="60">
        <f t="shared" si="16"/>
        <v>451.8</v>
      </c>
      <c r="I100" s="60">
        <f t="shared" si="16"/>
        <v>456.7</v>
      </c>
      <c r="J100" s="60">
        <f t="shared" si="16"/>
        <v>476</v>
      </c>
      <c r="K100" s="60">
        <f t="shared" si="16"/>
        <v>461.6</v>
      </c>
      <c r="L100" s="60">
        <f t="shared" si="16"/>
        <v>478.5</v>
      </c>
      <c r="M100" s="60">
        <f t="shared" si="16"/>
        <v>475.4</v>
      </c>
      <c r="N100" s="60">
        <f t="shared" si="16"/>
        <v>463.8</v>
      </c>
      <c r="O100" s="60">
        <f t="shared" si="16"/>
        <v>475.3</v>
      </c>
      <c r="P100" s="60">
        <f t="shared" si="16"/>
        <v>432</v>
      </c>
      <c r="Q100" s="60">
        <f t="shared" si="16"/>
        <v>423.6</v>
      </c>
      <c r="R100" s="60">
        <f t="shared" si="16"/>
        <v>442.3</v>
      </c>
      <c r="S100" s="60">
        <f t="shared" si="16"/>
        <v>464.7</v>
      </c>
      <c r="T100" s="60">
        <f t="shared" si="16"/>
        <v>474.2</v>
      </c>
      <c r="U100" s="60">
        <f t="shared" si="16"/>
        <v>473.3</v>
      </c>
      <c r="V100" s="60">
        <f t="shared" si="16"/>
        <v>500</v>
      </c>
      <c r="W100" s="60">
        <f t="shared" si="16"/>
        <v>506</v>
      </c>
      <c r="X100" s="60">
        <f>X84-X99</f>
        <v>470</v>
      </c>
      <c r="Y100" s="60">
        <f t="shared" si="16"/>
        <v>417</v>
      </c>
      <c r="Z100" s="60">
        <f t="shared" si="16"/>
        <v>369</v>
      </c>
      <c r="AA100" s="60">
        <f t="shared" si="16"/>
        <v>423</v>
      </c>
      <c r="AB100" s="60">
        <f t="shared" si="16"/>
        <v>421</v>
      </c>
      <c r="AC100" s="60">
        <f t="shared" si="16"/>
        <v>421</v>
      </c>
      <c r="AD100" s="60">
        <f t="shared" si="16"/>
        <v>383</v>
      </c>
      <c r="AE100" s="60">
        <f t="shared" si="16"/>
        <v>412</v>
      </c>
      <c r="AF100" s="60">
        <f t="shared" si="16"/>
        <v>355</v>
      </c>
      <c r="AG100" s="87"/>
      <c r="AH100" s="47">
        <f t="shared" si="9"/>
        <v>506</v>
      </c>
      <c r="AI100" s="48">
        <f t="shared" si="10"/>
        <v>328.7</v>
      </c>
    </row>
    <row r="101" spans="1:37" x14ac:dyDescent="0.25">
      <c r="A101" s="99" t="s">
        <v>109</v>
      </c>
      <c r="B101" s="100">
        <v>49.878</v>
      </c>
      <c r="C101" s="100">
        <v>49.921999999999997</v>
      </c>
      <c r="D101" s="100">
        <v>49.945</v>
      </c>
      <c r="E101" s="100">
        <v>49.978000000000002</v>
      </c>
      <c r="F101" s="100">
        <v>49.97</v>
      </c>
      <c r="G101" s="100">
        <v>49.941000000000003</v>
      </c>
      <c r="H101" s="100">
        <v>49.862000000000002</v>
      </c>
      <c r="I101" s="100">
        <v>49.878</v>
      </c>
      <c r="J101" s="100">
        <v>50</v>
      </c>
      <c r="K101" s="100">
        <v>50.036999999999999</v>
      </c>
      <c r="L101" s="100">
        <v>49.959000000000003</v>
      </c>
      <c r="M101" s="100">
        <v>50.088999999999999</v>
      </c>
      <c r="N101" s="100">
        <v>50.04</v>
      </c>
      <c r="O101" s="100">
        <v>49.954000000000001</v>
      </c>
      <c r="P101" s="100">
        <v>49.954999999999998</v>
      </c>
      <c r="Q101" s="100">
        <v>49.945999999999998</v>
      </c>
      <c r="R101" s="100">
        <v>49.968000000000004</v>
      </c>
      <c r="S101" s="100">
        <v>49.89</v>
      </c>
      <c r="T101" s="100">
        <v>49.802</v>
      </c>
      <c r="U101" s="100">
        <v>49.847999999999999</v>
      </c>
      <c r="V101" s="100">
        <v>49.939</v>
      </c>
      <c r="W101" s="100">
        <v>49.844000000000001</v>
      </c>
      <c r="X101" s="100">
        <v>49.844000000000001</v>
      </c>
      <c r="Y101" s="100">
        <v>49.84</v>
      </c>
      <c r="Z101" s="100">
        <v>49.91</v>
      </c>
      <c r="AA101" s="100">
        <v>49.62</v>
      </c>
      <c r="AB101" s="100">
        <v>50.040999999999997</v>
      </c>
      <c r="AC101" s="100">
        <v>50.040999999999997</v>
      </c>
      <c r="AD101" s="100">
        <v>50.034999999999997</v>
      </c>
      <c r="AE101" s="100">
        <v>49.701000000000001</v>
      </c>
      <c r="AF101" s="100">
        <v>50.031999999999996</v>
      </c>
      <c r="AG101" s="101"/>
      <c r="AH101" s="47">
        <f t="shared" si="9"/>
        <v>50.088999999999999</v>
      </c>
      <c r="AI101" s="48">
        <f t="shared" si="10"/>
        <v>49.62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129</v>
      </c>
      <c r="C103" s="64">
        <v>129.5</v>
      </c>
      <c r="D103" s="64">
        <v>129.5</v>
      </c>
      <c r="E103" s="64">
        <v>128.6</v>
      </c>
      <c r="F103" s="64">
        <v>128.6</v>
      </c>
      <c r="G103" s="64">
        <v>128.6</v>
      </c>
      <c r="H103" s="64">
        <v>128.6</v>
      </c>
      <c r="I103" s="64">
        <v>126</v>
      </c>
      <c r="J103" s="64">
        <v>126</v>
      </c>
      <c r="K103" s="64">
        <v>126</v>
      </c>
      <c r="L103" s="64">
        <v>126.8</v>
      </c>
      <c r="M103" s="64">
        <v>125.6</v>
      </c>
      <c r="N103" s="64">
        <v>127.9</v>
      </c>
      <c r="O103" s="64">
        <v>128.1</v>
      </c>
      <c r="P103" s="64">
        <v>127.2</v>
      </c>
      <c r="Q103" s="64">
        <v>127.5</v>
      </c>
      <c r="R103" s="64">
        <v>126</v>
      </c>
      <c r="S103" s="64">
        <v>126.5</v>
      </c>
      <c r="T103" s="64">
        <v>128.4</v>
      </c>
      <c r="U103" s="64">
        <v>128.4</v>
      </c>
      <c r="V103" s="64">
        <v>128.4</v>
      </c>
      <c r="W103" s="64">
        <v>129.30000000000001</v>
      </c>
      <c r="X103" s="64">
        <v>129.30000000000001</v>
      </c>
      <c r="Y103" s="64">
        <v>127.8</v>
      </c>
      <c r="Z103" s="64">
        <v>127.1</v>
      </c>
      <c r="AA103" s="64">
        <v>127.5</v>
      </c>
      <c r="AB103" s="64">
        <v>128.30000000000001</v>
      </c>
      <c r="AC103" s="64">
        <v>128.30000000000001</v>
      </c>
      <c r="AD103" s="64">
        <v>128.19999999999999</v>
      </c>
      <c r="AE103" s="64">
        <v>128.80000000000001</v>
      </c>
      <c r="AF103" s="64">
        <v>129.9</v>
      </c>
      <c r="AG103" s="103"/>
      <c r="AH103" s="47">
        <f t="shared" si="9"/>
        <v>129.9</v>
      </c>
      <c r="AI103" s="48">
        <f t="shared" si="10"/>
        <v>125.6</v>
      </c>
    </row>
    <row r="104" spans="1:37" x14ac:dyDescent="0.25">
      <c r="A104" s="102" t="s">
        <v>112</v>
      </c>
      <c r="B104" s="64">
        <v>127.3</v>
      </c>
      <c r="C104" s="64">
        <v>128.69999999999999</v>
      </c>
      <c r="D104" s="64">
        <v>128.69999999999999</v>
      </c>
      <c r="E104" s="64">
        <v>128</v>
      </c>
      <c r="F104" s="64">
        <v>128</v>
      </c>
      <c r="G104" s="64">
        <v>128</v>
      </c>
      <c r="H104" s="64">
        <v>128</v>
      </c>
      <c r="I104" s="64">
        <v>127.5</v>
      </c>
      <c r="J104" s="64">
        <v>127.5</v>
      </c>
      <c r="K104" s="64">
        <v>127.5</v>
      </c>
      <c r="L104" s="64">
        <v>128.9</v>
      </c>
      <c r="M104" s="64">
        <v>128.80000000000001</v>
      </c>
      <c r="N104" s="64">
        <v>127</v>
      </c>
      <c r="O104" s="64">
        <v>128.80000000000001</v>
      </c>
      <c r="P104" s="64">
        <v>128</v>
      </c>
      <c r="Q104" s="64">
        <v>125.6</v>
      </c>
      <c r="R104" s="64">
        <v>127.6</v>
      </c>
      <c r="S104" s="64">
        <v>127.5</v>
      </c>
      <c r="T104" s="64">
        <v>127.7</v>
      </c>
      <c r="U104" s="64">
        <v>127.7</v>
      </c>
      <c r="V104" s="64">
        <v>127.7</v>
      </c>
      <c r="W104" s="64">
        <v>129.5</v>
      </c>
      <c r="X104" s="64">
        <v>129.5</v>
      </c>
      <c r="Y104" s="64">
        <v>127.7</v>
      </c>
      <c r="Z104" s="64">
        <v>126.1</v>
      </c>
      <c r="AA104" s="64">
        <v>128.4</v>
      </c>
      <c r="AB104" s="64">
        <v>125.7</v>
      </c>
      <c r="AC104" s="64">
        <v>125.7</v>
      </c>
      <c r="AD104" s="64">
        <v>0</v>
      </c>
      <c r="AE104" s="64">
        <v>129.30000000000001</v>
      </c>
      <c r="AF104" s="64">
        <v>130.1</v>
      </c>
      <c r="AG104" s="103"/>
      <c r="AH104" s="47">
        <f t="shared" si="9"/>
        <v>130.1</v>
      </c>
      <c r="AI104" s="48">
        <f t="shared" si="10"/>
        <v>0</v>
      </c>
    </row>
    <row r="105" spans="1:37" x14ac:dyDescent="0.25">
      <c r="A105" s="104" t="s">
        <v>113</v>
      </c>
      <c r="B105" s="64">
        <v>131.6</v>
      </c>
      <c r="C105" s="64">
        <v>133</v>
      </c>
      <c r="D105" s="64">
        <v>133.30000000000001</v>
      </c>
      <c r="E105" s="64">
        <v>132.80000000000001</v>
      </c>
      <c r="F105" s="64">
        <v>132.80000000000001</v>
      </c>
      <c r="G105" s="64">
        <v>132.80000000000001</v>
      </c>
      <c r="H105" s="64">
        <v>132.80000000000001</v>
      </c>
      <c r="I105" s="64">
        <v>130</v>
      </c>
      <c r="J105" s="64">
        <v>130</v>
      </c>
      <c r="K105" s="64">
        <v>130</v>
      </c>
      <c r="L105" s="64">
        <v>132</v>
      </c>
      <c r="M105" s="64">
        <v>131.69999999999999</v>
      </c>
      <c r="N105" s="64">
        <v>129.1</v>
      </c>
      <c r="O105" s="64">
        <v>131.80000000000001</v>
      </c>
      <c r="P105" s="64">
        <v>131.30000000000001</v>
      </c>
      <c r="Q105" s="64">
        <v>129.1</v>
      </c>
      <c r="R105" s="64">
        <v>131.30000000000001</v>
      </c>
      <c r="S105" s="64">
        <v>130.19999999999999</v>
      </c>
      <c r="T105" s="64">
        <v>130.4</v>
      </c>
      <c r="U105" s="64">
        <v>130.4</v>
      </c>
      <c r="V105" s="64">
        <v>130.4</v>
      </c>
      <c r="W105" s="64">
        <v>132.80000000000001</v>
      </c>
      <c r="X105" s="64">
        <v>132.80000000000001</v>
      </c>
      <c r="Y105" s="64">
        <v>131</v>
      </c>
      <c r="Z105" s="64">
        <v>129</v>
      </c>
      <c r="AA105" s="64">
        <v>130.6</v>
      </c>
      <c r="AB105" s="64">
        <v>129.6</v>
      </c>
      <c r="AC105" s="64">
        <v>129.6</v>
      </c>
      <c r="AD105" s="64">
        <v>129.6</v>
      </c>
      <c r="AE105" s="64">
        <v>132.5</v>
      </c>
      <c r="AF105" s="64">
        <v>133.4</v>
      </c>
      <c r="AG105" s="103"/>
      <c r="AH105" s="47">
        <f t="shared" si="9"/>
        <v>133.4</v>
      </c>
      <c r="AI105" s="48">
        <f t="shared" si="10"/>
        <v>129</v>
      </c>
    </row>
    <row r="106" spans="1:37" x14ac:dyDescent="0.25">
      <c r="A106" s="104" t="s">
        <v>114</v>
      </c>
      <c r="B106" s="105">
        <v>132.30000000000001</v>
      </c>
      <c r="C106" s="105">
        <v>131.9</v>
      </c>
      <c r="D106" s="105">
        <v>132.69999999999999</v>
      </c>
      <c r="E106" s="105">
        <v>132</v>
      </c>
      <c r="F106" s="105">
        <v>132</v>
      </c>
      <c r="G106" s="105">
        <v>132</v>
      </c>
      <c r="H106" s="105">
        <v>132</v>
      </c>
      <c r="I106" s="105">
        <v>133</v>
      </c>
      <c r="J106" s="105">
        <v>133</v>
      </c>
      <c r="K106" s="105">
        <v>133</v>
      </c>
      <c r="L106" s="105">
        <v>134.5</v>
      </c>
      <c r="M106" s="105">
        <v>132.4</v>
      </c>
      <c r="N106" s="105">
        <v>133.6</v>
      </c>
      <c r="O106" s="105">
        <v>134</v>
      </c>
      <c r="P106" s="105">
        <v>132.69999999999999</v>
      </c>
      <c r="Q106" s="105">
        <v>132.4</v>
      </c>
      <c r="R106" s="105">
        <v>133.5</v>
      </c>
      <c r="S106" s="105">
        <v>130</v>
      </c>
      <c r="T106" s="105">
        <v>132.30000000000001</v>
      </c>
      <c r="U106" s="105">
        <v>132.30000000000001</v>
      </c>
      <c r="V106" s="105">
        <v>132.30000000000001</v>
      </c>
      <c r="W106" s="105">
        <v>134.19999999999999</v>
      </c>
      <c r="X106" s="105">
        <v>134.19999999999999</v>
      </c>
      <c r="Y106" s="105">
        <v>132.9</v>
      </c>
      <c r="Z106" s="105">
        <v>131.4</v>
      </c>
      <c r="AA106" s="105">
        <v>131.69999999999999</v>
      </c>
      <c r="AB106" s="105">
        <v>131.1</v>
      </c>
      <c r="AC106" s="105">
        <v>131.1</v>
      </c>
      <c r="AD106" s="105">
        <v>131.1</v>
      </c>
      <c r="AE106" s="105">
        <v>132.6</v>
      </c>
      <c r="AF106" s="105">
        <v>132.4</v>
      </c>
      <c r="AG106" s="106"/>
      <c r="AH106" s="47">
        <f t="shared" si="9"/>
        <v>134.5</v>
      </c>
      <c r="AI106" s="48">
        <f t="shared" si="10"/>
        <v>130</v>
      </c>
    </row>
    <row r="107" spans="1:37" x14ac:dyDescent="0.25">
      <c r="A107" s="102" t="s">
        <v>115</v>
      </c>
      <c r="B107" s="64">
        <v>126.6</v>
      </c>
      <c r="C107" s="64">
        <v>127.9</v>
      </c>
      <c r="D107" s="64">
        <v>131</v>
      </c>
      <c r="E107" s="64">
        <v>129</v>
      </c>
      <c r="F107" s="64">
        <v>129</v>
      </c>
      <c r="G107" s="64">
        <v>129</v>
      </c>
      <c r="H107" s="64">
        <v>129</v>
      </c>
      <c r="I107" s="64">
        <v>131</v>
      </c>
      <c r="J107" s="64">
        <v>131</v>
      </c>
      <c r="K107" s="64">
        <v>131</v>
      </c>
      <c r="L107" s="64">
        <v>134</v>
      </c>
      <c r="M107" s="64">
        <v>134.5</v>
      </c>
      <c r="N107" s="64">
        <v>128.1</v>
      </c>
      <c r="O107" s="64">
        <v>129.9</v>
      </c>
      <c r="P107" s="64">
        <v>132.19999999999999</v>
      </c>
      <c r="Q107" s="64">
        <v>133.30000000000001</v>
      </c>
      <c r="R107" s="64">
        <v>128.6</v>
      </c>
      <c r="S107" s="64">
        <v>130.6</v>
      </c>
      <c r="T107" s="64">
        <v>128</v>
      </c>
      <c r="U107" s="64">
        <v>128</v>
      </c>
      <c r="V107" s="64">
        <v>128</v>
      </c>
      <c r="W107" s="64">
        <v>135.30000000000001</v>
      </c>
      <c r="X107" s="64">
        <v>135.30000000000001</v>
      </c>
      <c r="Y107" s="64">
        <v>132.30000000000001</v>
      </c>
      <c r="Z107" s="64">
        <v>131.80000000000001</v>
      </c>
      <c r="AA107" s="64">
        <v>126.4</v>
      </c>
      <c r="AB107" s="64">
        <v>125.2</v>
      </c>
      <c r="AC107" s="64">
        <v>125.2</v>
      </c>
      <c r="AD107" s="64">
        <v>125.2</v>
      </c>
      <c r="AE107" s="64">
        <v>128.5</v>
      </c>
      <c r="AF107" s="64">
        <v>124</v>
      </c>
      <c r="AG107" s="103"/>
      <c r="AH107" s="47">
        <f t="shared" si="9"/>
        <v>135.30000000000001</v>
      </c>
      <c r="AI107" s="48">
        <f t="shared" si="10"/>
        <v>124</v>
      </c>
    </row>
    <row r="108" spans="1:37" ht="15.75" thickBot="1" x14ac:dyDescent="0.3">
      <c r="A108" s="102" t="s">
        <v>116</v>
      </c>
      <c r="B108" s="91">
        <v>65.599999999999994</v>
      </c>
      <c r="C108" s="91">
        <v>65.8</v>
      </c>
      <c r="D108" s="91">
        <v>65.7</v>
      </c>
      <c r="E108" s="91">
        <v>65</v>
      </c>
      <c r="F108" s="91">
        <v>65</v>
      </c>
      <c r="G108" s="91">
        <v>65</v>
      </c>
      <c r="H108" s="91">
        <v>65</v>
      </c>
      <c r="I108" s="91">
        <v>63.9</v>
      </c>
      <c r="J108" s="91">
        <v>63.9</v>
      </c>
      <c r="K108" s="91">
        <v>63.9</v>
      </c>
      <c r="L108" s="91">
        <v>63.9</v>
      </c>
      <c r="M108" s="91">
        <v>63.6</v>
      </c>
      <c r="N108" s="91">
        <v>64.599999999999994</v>
      </c>
      <c r="O108" s="91">
        <v>64.400000000000006</v>
      </c>
      <c r="P108" s="91">
        <v>63.6</v>
      </c>
      <c r="Q108" s="91">
        <v>63.8</v>
      </c>
      <c r="R108" s="91">
        <v>63.5</v>
      </c>
      <c r="S108" s="91">
        <v>63.5</v>
      </c>
      <c r="T108" s="91">
        <v>64</v>
      </c>
      <c r="U108" s="91">
        <v>64</v>
      </c>
      <c r="V108" s="91">
        <v>64</v>
      </c>
      <c r="W108" s="91">
        <v>64.599999999999994</v>
      </c>
      <c r="X108" s="91">
        <v>64.599999999999994</v>
      </c>
      <c r="Y108" s="91">
        <v>64.099999999999994</v>
      </c>
      <c r="Z108" s="91">
        <v>63.6</v>
      </c>
      <c r="AA108" s="91">
        <v>63.9</v>
      </c>
      <c r="AB108" s="91">
        <v>64.5</v>
      </c>
      <c r="AC108" s="91">
        <v>64.5</v>
      </c>
      <c r="AD108" s="91">
        <v>64.5</v>
      </c>
      <c r="AE108" s="91">
        <v>64.900000000000006</v>
      </c>
      <c r="AF108" s="91">
        <v>65.3</v>
      </c>
      <c r="AG108" s="107"/>
      <c r="AH108" s="47">
        <f t="shared" si="9"/>
        <v>65.8</v>
      </c>
      <c r="AI108" s="48">
        <f t="shared" si="10"/>
        <v>63.5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52.400000000000006</v>
      </c>
      <c r="C110" s="110">
        <f t="shared" si="17"/>
        <v>52.239999999999995</v>
      </c>
      <c r="D110" s="110">
        <f t="shared" si="17"/>
        <v>41.940000000000012</v>
      </c>
      <c r="E110" s="110">
        <f t="shared" si="17"/>
        <v>37.340000000000018</v>
      </c>
      <c r="F110" s="110">
        <f t="shared" si="17"/>
        <v>39.840000000000018</v>
      </c>
      <c r="G110" s="110">
        <f t="shared" si="17"/>
        <v>168.84</v>
      </c>
      <c r="H110" s="110">
        <f t="shared" si="17"/>
        <v>74.64</v>
      </c>
      <c r="I110" s="110">
        <f t="shared" si="17"/>
        <v>112.23999999999998</v>
      </c>
      <c r="J110" s="110">
        <f t="shared" si="17"/>
        <v>117.53999999999999</v>
      </c>
      <c r="K110" s="110">
        <f t="shared" si="17"/>
        <v>127.64</v>
      </c>
      <c r="L110" s="110">
        <f t="shared" si="17"/>
        <v>155.44</v>
      </c>
      <c r="M110" s="110">
        <f t="shared" si="17"/>
        <v>160.63999999999999</v>
      </c>
      <c r="N110" s="110">
        <f t="shared" si="17"/>
        <v>163.54000000000002</v>
      </c>
      <c r="O110" s="110">
        <f t="shared" si="17"/>
        <v>143.73999999999995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121.80000000000001</v>
      </c>
      <c r="R110" s="110">
        <f t="shared" si="18"/>
        <v>126.49999999999997</v>
      </c>
      <c r="S110" s="110">
        <f t="shared" si="18"/>
        <v>117.8</v>
      </c>
      <c r="T110" s="110">
        <f t="shared" si="18"/>
        <v>78.900000000000006</v>
      </c>
      <c r="U110" s="110">
        <f t="shared" si="18"/>
        <v>129.1</v>
      </c>
      <c r="V110" s="110">
        <f t="shared" si="18"/>
        <v>120.09999999999998</v>
      </c>
      <c r="W110" s="110">
        <f t="shared" si="18"/>
        <v>119.39999999999999</v>
      </c>
      <c r="X110" s="110">
        <f t="shared" si="18"/>
        <v>138.20000000000002</v>
      </c>
      <c r="Y110" s="110">
        <f t="shared" si="18"/>
        <v>160.5</v>
      </c>
      <c r="Z110" s="110">
        <f t="shared" si="18"/>
        <v>199.79999999999998</v>
      </c>
      <c r="AA110" s="110">
        <f t="shared" si="18"/>
        <v>187</v>
      </c>
      <c r="AB110" s="110">
        <f t="shared" si="18"/>
        <v>397.6</v>
      </c>
      <c r="AC110" s="110">
        <f t="shared" si="18"/>
        <v>397.6</v>
      </c>
      <c r="AD110" s="110"/>
      <c r="AE110" s="110">
        <f t="shared" si="18"/>
        <v>63.300000000000004</v>
      </c>
      <c r="AF110" s="110">
        <f t="shared" si="18"/>
        <v>57.900000000000006</v>
      </c>
      <c r="AG110" s="111"/>
      <c r="AH110" s="47">
        <f t="shared" si="9"/>
        <v>397.6</v>
      </c>
      <c r="AI110" s="48">
        <f t="shared" si="10"/>
        <v>37.340000000000018</v>
      </c>
    </row>
    <row r="111" spans="1:37" x14ac:dyDescent="0.25">
      <c r="A111" s="99" t="s">
        <v>119</v>
      </c>
      <c r="B111" s="112">
        <v>18.2</v>
      </c>
      <c r="C111" s="112">
        <v>14.7</v>
      </c>
      <c r="D111" s="112">
        <v>17.5</v>
      </c>
      <c r="E111" s="112">
        <v>16.600000000000001</v>
      </c>
      <c r="F111" s="112">
        <v>18</v>
      </c>
      <c r="G111" s="112">
        <v>18.8</v>
      </c>
      <c r="H111" s="112">
        <v>22.3</v>
      </c>
      <c r="I111" s="112">
        <v>30</v>
      </c>
      <c r="J111" s="112">
        <v>33</v>
      </c>
      <c r="K111" s="112">
        <v>36.200000000000003</v>
      </c>
      <c r="L111" s="112">
        <v>36.799999999999997</v>
      </c>
      <c r="M111" s="112">
        <v>40.799999999999997</v>
      </c>
      <c r="N111" s="112">
        <v>40.5</v>
      </c>
      <c r="O111" s="112">
        <v>40.6</v>
      </c>
      <c r="P111" s="112">
        <v>31.6</v>
      </c>
      <c r="Q111" s="112">
        <v>32.299999999999997</v>
      </c>
      <c r="R111" s="112">
        <v>44.4</v>
      </c>
      <c r="S111" s="112">
        <v>38.799999999999997</v>
      </c>
      <c r="T111" s="112">
        <v>35.1</v>
      </c>
      <c r="U111" s="112">
        <v>31.7</v>
      </c>
      <c r="V111" s="112">
        <v>31.6</v>
      </c>
      <c r="W111" s="112">
        <v>29</v>
      </c>
      <c r="X111" s="112">
        <v>28.4</v>
      </c>
      <c r="Y111" s="112">
        <v>28.2</v>
      </c>
      <c r="Z111" s="112">
        <v>34.299999999999997</v>
      </c>
      <c r="AA111" s="112">
        <v>30.6</v>
      </c>
      <c r="AB111" s="112">
        <v>30.1</v>
      </c>
      <c r="AC111" s="112">
        <v>30.1</v>
      </c>
      <c r="AD111" s="112">
        <v>18.899999999999999</v>
      </c>
      <c r="AE111" s="112">
        <v>14.3</v>
      </c>
      <c r="AF111" s="112">
        <v>10.3</v>
      </c>
      <c r="AG111" s="113">
        <v>75</v>
      </c>
      <c r="AH111" s="47">
        <f t="shared" si="9"/>
        <v>44.4</v>
      </c>
      <c r="AI111" s="48">
        <f t="shared" si="10"/>
        <v>10.3</v>
      </c>
    </row>
    <row r="112" spans="1:37" x14ac:dyDescent="0.25">
      <c r="A112" s="102" t="s">
        <v>120</v>
      </c>
      <c r="B112" s="114">
        <v>28.4</v>
      </c>
      <c r="C112" s="114">
        <v>23</v>
      </c>
      <c r="D112" s="114">
        <v>26.1</v>
      </c>
      <c r="E112" s="114">
        <v>24.9</v>
      </c>
      <c r="F112" s="114">
        <v>27.1</v>
      </c>
      <c r="G112" s="114">
        <v>26.9</v>
      </c>
      <c r="H112" s="114">
        <v>31.4</v>
      </c>
      <c r="I112" s="114">
        <v>42.3</v>
      </c>
      <c r="J112" s="114">
        <v>44</v>
      </c>
      <c r="K112" s="114">
        <v>47.2</v>
      </c>
      <c r="L112" s="114">
        <v>47.9</v>
      </c>
      <c r="M112" s="114">
        <v>52.2</v>
      </c>
      <c r="N112" s="114">
        <v>52.2</v>
      </c>
      <c r="O112" s="114">
        <v>52.3</v>
      </c>
      <c r="P112" s="114">
        <v>39.5</v>
      </c>
      <c r="Q112" s="114">
        <v>41.3</v>
      </c>
      <c r="R112" s="114">
        <v>60.8</v>
      </c>
      <c r="S112" s="114">
        <v>52.6</v>
      </c>
      <c r="T112" s="114">
        <v>45.3</v>
      </c>
      <c r="U112" s="114">
        <v>40.1</v>
      </c>
      <c r="V112" s="114">
        <v>40.6</v>
      </c>
      <c r="W112" s="114">
        <v>37.200000000000003</v>
      </c>
      <c r="X112" s="114">
        <v>34.5</v>
      </c>
      <c r="Y112" s="114">
        <v>34.299999999999997</v>
      </c>
      <c r="Z112" s="114">
        <v>43.4</v>
      </c>
      <c r="AA112" s="114">
        <v>40.4</v>
      </c>
      <c r="AB112" s="114">
        <v>40.9</v>
      </c>
      <c r="AC112" s="114">
        <v>40.9</v>
      </c>
      <c r="AD112" s="114">
        <v>24.8</v>
      </c>
      <c r="AE112" s="114">
        <v>18.600000000000001</v>
      </c>
      <c r="AF112" s="114">
        <v>12.7</v>
      </c>
      <c r="AG112" s="113">
        <v>240</v>
      </c>
      <c r="AH112" s="47">
        <f t="shared" si="9"/>
        <v>60.8</v>
      </c>
      <c r="AI112" s="48">
        <f t="shared" si="10"/>
        <v>12.7</v>
      </c>
    </row>
    <row r="113" spans="1:37" x14ac:dyDescent="0.25">
      <c r="A113" s="102" t="s">
        <v>121</v>
      </c>
      <c r="B113" s="114">
        <v>-124</v>
      </c>
      <c r="C113" s="114">
        <v>-117</v>
      </c>
      <c r="D113" s="114">
        <v>-125.7</v>
      </c>
      <c r="E113" s="114">
        <v>-127</v>
      </c>
      <c r="F113" s="114">
        <v>-127.8</v>
      </c>
      <c r="G113" s="114">
        <v>-16.5</v>
      </c>
      <c r="H113" s="114">
        <v>-121</v>
      </c>
      <c r="I113" s="114">
        <v>-107</v>
      </c>
      <c r="J113" s="114">
        <v>-100</v>
      </c>
      <c r="K113" s="114">
        <v>-95</v>
      </c>
      <c r="L113" s="114">
        <v>-87.6</v>
      </c>
      <c r="M113" s="114">
        <f>-45-47</f>
        <v>-92</v>
      </c>
      <c r="N113" s="114">
        <f>-43-47</f>
        <v>-90</v>
      </c>
      <c r="O113" s="114">
        <f>-49.5-52.2</f>
        <v>-101.7</v>
      </c>
      <c r="P113" s="114">
        <f>-49-51</f>
        <v>-100</v>
      </c>
      <c r="Q113" s="114">
        <f>-48.8-51.6</f>
        <v>-100.4</v>
      </c>
      <c r="R113" s="114">
        <f>-46-48</f>
        <v>-94</v>
      </c>
      <c r="S113" s="114">
        <f>-41.2-43.9</f>
        <v>-85.1</v>
      </c>
      <c r="T113" s="114">
        <v>-102</v>
      </c>
      <c r="U113" s="114">
        <v>-102.7</v>
      </c>
      <c r="V113" s="114">
        <v>-100</v>
      </c>
      <c r="W113" s="114">
        <f>-46.4-49.3</f>
        <v>-95.699999999999989</v>
      </c>
      <c r="X113" s="114">
        <f>-30.5-34.1</f>
        <v>-64.599999999999994</v>
      </c>
      <c r="Y113" s="114">
        <f>-33.6-36.4</f>
        <v>-70</v>
      </c>
      <c r="Z113" s="114">
        <f>-35.5-36.9</f>
        <v>-72.400000000000006</v>
      </c>
      <c r="AA113" s="114">
        <v>-94.9</v>
      </c>
      <c r="AB113" s="114">
        <f>--120</f>
        <v>120</v>
      </c>
      <c r="AC113" s="114">
        <f>--120</f>
        <v>120</v>
      </c>
      <c r="AD113" s="114">
        <v>-130</v>
      </c>
      <c r="AE113" s="114">
        <v>-140</v>
      </c>
      <c r="AF113" s="114">
        <v>-133</v>
      </c>
      <c r="AG113" s="113">
        <v>240</v>
      </c>
      <c r="AH113" s="47">
        <f t="shared" si="9"/>
        <v>120</v>
      </c>
      <c r="AI113" s="48">
        <f t="shared" si="10"/>
        <v>-140</v>
      </c>
    </row>
    <row r="114" spans="1:37" x14ac:dyDescent="0.25">
      <c r="A114" s="102" t="s">
        <v>122</v>
      </c>
      <c r="B114" s="114">
        <v>1</v>
      </c>
      <c r="C114" s="114">
        <v>1.8</v>
      </c>
      <c r="D114" s="114">
        <v>0</v>
      </c>
      <c r="E114" s="114">
        <v>-1.2</v>
      </c>
      <c r="F114" s="114">
        <v>-1.5</v>
      </c>
      <c r="G114" s="114">
        <v>1.5</v>
      </c>
      <c r="H114" s="114">
        <v>3.8</v>
      </c>
      <c r="I114" s="114">
        <v>8.4</v>
      </c>
      <c r="J114" s="114">
        <v>8.9</v>
      </c>
      <c r="K114" s="114">
        <v>9.1999999999999993</v>
      </c>
      <c r="L114" s="114">
        <v>12</v>
      </c>
      <c r="M114" s="114">
        <v>13.3</v>
      </c>
      <c r="N114" s="114">
        <v>14.5</v>
      </c>
      <c r="O114" s="114">
        <v>11.7</v>
      </c>
      <c r="P114" s="114">
        <v>13.7</v>
      </c>
      <c r="Q114" s="114">
        <v>11.6</v>
      </c>
      <c r="R114" s="114">
        <v>12.6</v>
      </c>
      <c r="S114" s="114">
        <v>13.8</v>
      </c>
      <c r="T114" s="114">
        <v>11.4</v>
      </c>
      <c r="U114" s="114">
        <v>11.7</v>
      </c>
      <c r="V114" s="114">
        <v>10.7</v>
      </c>
      <c r="W114" s="114">
        <v>11.7</v>
      </c>
      <c r="X114" s="114">
        <v>15.4</v>
      </c>
      <c r="Y114" s="114">
        <v>16.5</v>
      </c>
      <c r="Z114" s="114">
        <v>17.2</v>
      </c>
      <c r="AA114" s="114">
        <v>13.8</v>
      </c>
      <c r="AB114" s="114">
        <v>9.6</v>
      </c>
      <c r="AC114" s="114">
        <v>9.6</v>
      </c>
      <c r="AD114" s="114">
        <v>6</v>
      </c>
      <c r="AE114" s="114">
        <v>0.9</v>
      </c>
      <c r="AF114" s="114">
        <v>-0.7</v>
      </c>
      <c r="AG114" s="113">
        <v>60</v>
      </c>
      <c r="AH114" s="47">
        <f t="shared" si="9"/>
        <v>17.2</v>
      </c>
      <c r="AI114" s="48">
        <f t="shared" si="10"/>
        <v>-1.5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27</v>
      </c>
      <c r="Z115" s="116">
        <v>30.4</v>
      </c>
      <c r="AA115" s="116">
        <v>43</v>
      </c>
      <c r="AB115" s="116">
        <v>42.9</v>
      </c>
      <c r="AC115" s="116">
        <v>42.9</v>
      </c>
      <c r="AD115" s="116">
        <v>42.9</v>
      </c>
      <c r="AE115" s="116">
        <v>30.5</v>
      </c>
      <c r="AF115" s="116">
        <v>29.6</v>
      </c>
      <c r="AG115" s="117">
        <v>120</v>
      </c>
      <c r="AH115" s="47">
        <f t="shared" si="9"/>
        <v>43</v>
      </c>
      <c r="AI115" s="48">
        <f t="shared" si="10"/>
        <v>0</v>
      </c>
    </row>
    <row r="116" spans="1:37" x14ac:dyDescent="0.25">
      <c r="A116" s="115" t="s">
        <v>124</v>
      </c>
      <c r="B116" s="116">
        <v>34</v>
      </c>
      <c r="C116" s="116">
        <v>36</v>
      </c>
      <c r="D116" s="116">
        <v>37.6</v>
      </c>
      <c r="E116" s="116">
        <v>39.700000000000003</v>
      </c>
      <c r="F116" s="116">
        <v>39.1</v>
      </c>
      <c r="G116" s="116">
        <v>31.3</v>
      </c>
      <c r="H116" s="116">
        <v>32.299999999999997</v>
      </c>
      <c r="I116" s="116">
        <v>36.5</v>
      </c>
      <c r="J116" s="116">
        <v>35.6</v>
      </c>
      <c r="K116" s="116">
        <v>34.1</v>
      </c>
      <c r="L116" s="116">
        <v>33.1</v>
      </c>
      <c r="M116" s="116">
        <v>34.1</v>
      </c>
      <c r="N116" s="116">
        <v>20.8</v>
      </c>
      <c r="O116" s="116">
        <v>28.1</v>
      </c>
      <c r="P116" s="116">
        <v>40.5</v>
      </c>
      <c r="Q116" s="116">
        <v>31.5</v>
      </c>
      <c r="R116" s="116">
        <v>30.4</v>
      </c>
      <c r="S116" s="116">
        <v>32.9</v>
      </c>
      <c r="T116" s="116">
        <v>23</v>
      </c>
      <c r="U116" s="116">
        <v>24.39</v>
      </c>
      <c r="V116" s="116">
        <v>24.1</v>
      </c>
      <c r="W116" s="116">
        <v>22.9</v>
      </c>
      <c r="X116" s="116">
        <v>43.1</v>
      </c>
      <c r="Y116" s="116">
        <v>45</v>
      </c>
      <c r="Z116" s="116">
        <v>27.2</v>
      </c>
      <c r="AA116" s="116">
        <v>12.6</v>
      </c>
      <c r="AB116" s="116">
        <v>-1.2</v>
      </c>
      <c r="AC116" s="116">
        <v>-1.2</v>
      </c>
      <c r="AD116" s="116">
        <v>25.5</v>
      </c>
      <c r="AE116" s="116">
        <v>6.3</v>
      </c>
      <c r="AF116" s="116">
        <v>37.6</v>
      </c>
      <c r="AG116" s="117"/>
      <c r="AH116" s="47">
        <f t="shared" si="9"/>
        <v>45</v>
      </c>
      <c r="AI116" s="48">
        <f t="shared" si="10"/>
        <v>-1.2</v>
      </c>
    </row>
    <row r="117" spans="1:37" x14ac:dyDescent="0.25">
      <c r="A117" s="115" t="s">
        <v>125</v>
      </c>
      <c r="B117" s="116">
        <v>-15.5</v>
      </c>
      <c r="C117" s="116">
        <v>-15.2</v>
      </c>
      <c r="D117" s="116">
        <v>-19.399999999999999</v>
      </c>
      <c r="E117" s="116">
        <v>-18</v>
      </c>
      <c r="F117" s="116">
        <v>-22.4</v>
      </c>
      <c r="G117" s="116">
        <v>-21.5</v>
      </c>
      <c r="H117" s="116">
        <v>-24.2</v>
      </c>
      <c r="I117" s="116">
        <v>-28.8</v>
      </c>
      <c r="J117" s="116">
        <v>-32</v>
      </c>
      <c r="K117" s="116">
        <v>-38.200000000000003</v>
      </c>
      <c r="L117" s="116">
        <v>-37.200000000000003</v>
      </c>
      <c r="M117" s="116">
        <v>-51.1</v>
      </c>
      <c r="N117" s="116">
        <v>-47.7</v>
      </c>
      <c r="O117" s="116">
        <v>-49.2</v>
      </c>
      <c r="P117" s="116">
        <v>-43</v>
      </c>
      <c r="Q117" s="116">
        <v>-42.4</v>
      </c>
      <c r="R117" s="116">
        <v>-46.4</v>
      </c>
      <c r="S117" s="116">
        <v>-52</v>
      </c>
      <c r="T117" s="116">
        <v>-40.799999999999997</v>
      </c>
      <c r="U117" s="116">
        <v>-33.200000000000003</v>
      </c>
      <c r="V117" s="116">
        <v>-28.85</v>
      </c>
      <c r="W117" s="116">
        <v>-30.4</v>
      </c>
      <c r="X117" s="116">
        <v>-30.3</v>
      </c>
      <c r="Y117" s="116">
        <v>-31.9</v>
      </c>
      <c r="Z117" s="116">
        <v>-24.7</v>
      </c>
      <c r="AA117" s="116">
        <v>-9.1</v>
      </c>
      <c r="AB117" s="116"/>
      <c r="AC117" s="116"/>
      <c r="AD117" s="116">
        <v>-2.2999999999999998</v>
      </c>
      <c r="AE117" s="116">
        <v>-3</v>
      </c>
      <c r="AF117" s="116">
        <v>-4.4000000000000004</v>
      </c>
      <c r="AG117" s="118"/>
      <c r="AH117" s="47">
        <f t="shared" si="9"/>
        <v>-2.2999999999999998</v>
      </c>
      <c r="AI117" s="48">
        <f t="shared" si="10"/>
        <v>-52</v>
      </c>
    </row>
    <row r="118" spans="1:37" x14ac:dyDescent="0.25">
      <c r="A118" s="119" t="s">
        <v>126</v>
      </c>
      <c r="B118" s="105">
        <v>39.6</v>
      </c>
      <c r="C118" s="105">
        <v>39.5</v>
      </c>
      <c r="D118" s="105">
        <v>42.2</v>
      </c>
      <c r="E118" s="105">
        <v>45.5</v>
      </c>
      <c r="F118" s="105">
        <v>47.2</v>
      </c>
      <c r="G118" s="105">
        <v>48.7</v>
      </c>
      <c r="H118" s="105">
        <v>51.2</v>
      </c>
      <c r="I118" s="105">
        <v>52.5</v>
      </c>
      <c r="J118" s="105">
        <v>50.1</v>
      </c>
      <c r="K118" s="105">
        <v>48.6</v>
      </c>
      <c r="L118" s="105">
        <v>45.6</v>
      </c>
      <c r="M118" s="105">
        <v>41.7</v>
      </c>
      <c r="N118" s="105">
        <v>37.1</v>
      </c>
      <c r="O118" s="105">
        <v>38.299999999999997</v>
      </c>
      <c r="P118" s="105">
        <v>40.9</v>
      </c>
      <c r="Q118" s="105">
        <v>39.1</v>
      </c>
      <c r="R118" s="105">
        <v>39.799999999999997</v>
      </c>
      <c r="S118" s="105">
        <v>37.6</v>
      </c>
      <c r="T118" s="105">
        <v>37.9</v>
      </c>
      <c r="U118" s="105">
        <v>36.700000000000003</v>
      </c>
      <c r="V118" s="105">
        <v>39</v>
      </c>
      <c r="W118" s="105">
        <v>40.700000000000003</v>
      </c>
      <c r="X118" s="105">
        <v>32.9</v>
      </c>
      <c r="Y118" s="105">
        <v>29.7</v>
      </c>
      <c r="Z118" s="105">
        <v>21.1</v>
      </c>
      <c r="AA118" s="105">
        <v>22.7</v>
      </c>
      <c r="AB118" s="105">
        <v>23</v>
      </c>
      <c r="AC118" s="105">
        <v>23</v>
      </c>
      <c r="AD118" s="105">
        <v>-36.700000000000003</v>
      </c>
      <c r="AE118" s="105">
        <v>31.5</v>
      </c>
      <c r="AF118" s="105">
        <v>31.1</v>
      </c>
      <c r="AG118" s="118"/>
      <c r="AH118" s="47">
        <f t="shared" si="9"/>
        <v>52.5</v>
      </c>
      <c r="AI118" s="48">
        <f t="shared" si="10"/>
        <v>-36.700000000000003</v>
      </c>
    </row>
    <row r="119" spans="1:37" x14ac:dyDescent="0.25">
      <c r="A119" s="120" t="s">
        <v>127</v>
      </c>
      <c r="B119" s="105">
        <v>88.9</v>
      </c>
      <c r="C119" s="105">
        <v>83.5</v>
      </c>
      <c r="D119" s="105">
        <v>90.1</v>
      </c>
      <c r="E119" s="105">
        <v>95.4</v>
      </c>
      <c r="F119" s="105">
        <v>97.1</v>
      </c>
      <c r="G119" s="105">
        <v>94.8</v>
      </c>
      <c r="H119" s="105">
        <v>94.4</v>
      </c>
      <c r="I119" s="105">
        <v>86.7</v>
      </c>
      <c r="J119" s="105">
        <v>86.5</v>
      </c>
      <c r="K119" s="105">
        <v>87</v>
      </c>
      <c r="L119" s="105">
        <v>79.7</v>
      </c>
      <c r="M119" s="105">
        <v>89.5</v>
      </c>
      <c r="N119" s="105">
        <v>80.5</v>
      </c>
      <c r="O119" s="105">
        <v>88.6</v>
      </c>
      <c r="P119" s="105">
        <v>89.9</v>
      </c>
      <c r="Q119" s="105">
        <v>84.2</v>
      </c>
      <c r="R119" s="105">
        <v>90.4</v>
      </c>
      <c r="S119" s="105">
        <v>78.5</v>
      </c>
      <c r="T119" s="105">
        <v>88.5</v>
      </c>
      <c r="U119" s="105">
        <v>83.4</v>
      </c>
      <c r="V119" s="105">
        <v>84</v>
      </c>
      <c r="W119" s="105">
        <v>76.599999999999994</v>
      </c>
      <c r="X119" s="105">
        <v>59.2</v>
      </c>
      <c r="Y119" s="105">
        <v>58.4</v>
      </c>
      <c r="Z119" s="105">
        <v>61.7</v>
      </c>
      <c r="AA119" s="105">
        <v>70.900000000000006</v>
      </c>
      <c r="AB119" s="105">
        <v>88</v>
      </c>
      <c r="AC119" s="105">
        <v>88</v>
      </c>
      <c r="AD119" s="105">
        <v>88.1</v>
      </c>
      <c r="AE119" s="105">
        <v>96.8</v>
      </c>
      <c r="AF119" s="105">
        <v>86.4</v>
      </c>
      <c r="AG119" s="118"/>
      <c r="AH119" s="47">
        <f t="shared" si="9"/>
        <v>97.1</v>
      </c>
      <c r="AI119" s="48">
        <f t="shared" si="10"/>
        <v>58.4</v>
      </c>
    </row>
    <row r="120" spans="1:37" ht="15.75" thickBot="1" x14ac:dyDescent="0.3">
      <c r="A120" s="119" t="s">
        <v>128</v>
      </c>
      <c r="B120" s="105">
        <v>35.4</v>
      </c>
      <c r="C120" s="105">
        <v>33.700000000000003</v>
      </c>
      <c r="D120" s="105">
        <v>16.399999999999999</v>
      </c>
      <c r="E120" s="105">
        <v>17.2</v>
      </c>
      <c r="F120" s="105">
        <v>13.6</v>
      </c>
      <c r="G120" s="105">
        <v>9.5</v>
      </c>
      <c r="H120" s="105">
        <v>-5.5</v>
      </c>
      <c r="I120" s="105">
        <v>-13.5</v>
      </c>
      <c r="J120" s="105">
        <v>-11</v>
      </c>
      <c r="K120" s="105">
        <v>-9.3000000000000007</v>
      </c>
      <c r="L120" s="105">
        <v>-8.9</v>
      </c>
      <c r="M120" s="105">
        <v>-6.4</v>
      </c>
      <c r="N120" s="105">
        <v>6</v>
      </c>
      <c r="O120" s="105">
        <v>2.9</v>
      </c>
      <c r="P120" s="105">
        <v>5.5</v>
      </c>
      <c r="Q120" s="105">
        <v>9.9</v>
      </c>
      <c r="R120" s="105">
        <v>4.7</v>
      </c>
      <c r="S120" s="105">
        <v>2.2999999999999998</v>
      </c>
      <c r="T120" s="105">
        <v>-1.2</v>
      </c>
      <c r="U120" s="105">
        <v>-3.5</v>
      </c>
      <c r="V120" s="105">
        <v>-13.2</v>
      </c>
      <c r="W120" s="105">
        <v>-16</v>
      </c>
      <c r="X120" s="105">
        <v>-10.8</v>
      </c>
      <c r="Y120" s="105">
        <v>1.7</v>
      </c>
      <c r="Z120" s="105">
        <v>19</v>
      </c>
      <c r="AA120" s="105">
        <v>20.7</v>
      </c>
      <c r="AB120" s="105">
        <v>30.5</v>
      </c>
      <c r="AC120" s="105">
        <v>30.5</v>
      </c>
      <c r="AD120" s="105">
        <v>20.7</v>
      </c>
      <c r="AE120" s="105">
        <v>26.9</v>
      </c>
      <c r="AF120" s="105">
        <v>28.3</v>
      </c>
      <c r="AG120" s="118"/>
      <c r="AH120" s="47">
        <f t="shared" si="9"/>
        <v>35.4</v>
      </c>
      <c r="AI120" s="48">
        <f t="shared" si="10"/>
        <v>-16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2011.54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1967.44</v>
      </c>
      <c r="U249" s="170">
        <f t="shared" si="23"/>
        <v>1964.94</v>
      </c>
      <c r="V249" s="170">
        <f t="shared" si="23"/>
        <v>1902.04</v>
      </c>
      <c r="W249" s="170">
        <f t="shared" si="23"/>
        <v>1952.7399999999998</v>
      </c>
      <c r="X249" s="170">
        <f t="shared" si="23"/>
        <v>1953.44</v>
      </c>
      <c r="Y249" s="170">
        <f t="shared" si="23"/>
        <v>1978.8400000000001</v>
      </c>
      <c r="Z249" s="170">
        <f t="shared" si="23"/>
        <v>1990.2400000000002</v>
      </c>
      <c r="AA249" s="170">
        <f t="shared" si="23"/>
        <v>1995.14</v>
      </c>
      <c r="AB249" s="170">
        <f t="shared" si="23"/>
        <v>1987.64</v>
      </c>
      <c r="AC249" s="170">
        <f t="shared" si="23"/>
        <v>1986.04</v>
      </c>
      <c r="AD249" s="170">
        <f t="shared" si="23"/>
        <v>2011.54</v>
      </c>
      <c r="AE249" s="170">
        <f t="shared" si="23"/>
        <v>2004.34</v>
      </c>
      <c r="AF249" s="170">
        <f t="shared" si="23"/>
        <v>2004.74</v>
      </c>
      <c r="AG249" s="170">
        <f t="shared" si="23"/>
        <v>1989.94</v>
      </c>
      <c r="AH249" s="170">
        <f t="shared" si="23"/>
        <v>1947.14</v>
      </c>
      <c r="AI249" s="170">
        <f t="shared" si="23"/>
        <v>1932.1399999999999</v>
      </c>
      <c r="AJ249" s="170">
        <f t="shared" si="23"/>
        <v>1944.94</v>
      </c>
      <c r="AK249" s="170">
        <f t="shared" si="23"/>
        <v>1951.24</v>
      </c>
      <c r="AL249" s="170">
        <f t="shared" si="23"/>
        <v>1942.94</v>
      </c>
      <c r="AM249" s="170">
        <f t="shared" si="23"/>
        <v>1968.54</v>
      </c>
      <c r="AN249" s="170">
        <f t="shared" si="23"/>
        <v>1953.44</v>
      </c>
      <c r="AO249" s="170">
        <f t="shared" si="23"/>
        <v>1944.74</v>
      </c>
      <c r="AP249" s="170">
        <f t="shared" si="23"/>
        <v>1914.54</v>
      </c>
      <c r="AQ249" s="170">
        <f t="shared" si="23"/>
        <v>1933.7399999999998</v>
      </c>
      <c r="AR249" s="170">
        <f t="shared" si="23"/>
        <v>2000.7399999999998</v>
      </c>
      <c r="AS249" s="170">
        <f t="shared" si="23"/>
        <v>2146.0400000000004</v>
      </c>
      <c r="AT249" s="170">
        <f t="shared" si="23"/>
        <v>2146.0400000000004</v>
      </c>
      <c r="AU249" s="170">
        <f t="shared" si="23"/>
        <v>2086.0400000000004</v>
      </c>
      <c r="AV249" s="170">
        <f t="shared" si="23"/>
        <v>2071.34</v>
      </c>
      <c r="AW249" s="170">
        <f t="shared" si="23"/>
        <v>2010.1399999999999</v>
      </c>
      <c r="AX249" s="170">
        <f t="shared" si="23"/>
        <v>2006.1399999999999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267" priority="99">
      <formula>$AH11=0</formula>
    </cfRule>
  </conditionalFormatting>
  <conditionalFormatting sqref="B8 M8 S8 AB8">
    <cfRule type="expression" dxfId="2266" priority="151">
      <formula>AND(C$9&gt;=8/24,C$9&lt;14/24)</formula>
    </cfRule>
    <cfRule type="expression" dxfId="2265" priority="150">
      <formula>AND(C$9&gt;=14/24,C$9&lt;20/24)</formula>
    </cfRule>
    <cfRule type="expression" dxfId="2264" priority="152">
      <formula>C$9&lt;8/24</formula>
    </cfRule>
  </conditionalFormatting>
  <conditionalFormatting sqref="B54:C54">
    <cfRule type="expression" dxfId="2263" priority="76">
      <formula>B$9&lt;8/24</formula>
    </cfRule>
    <cfRule type="expression" dxfId="2262" priority="75">
      <formula>AND(B$9&gt;=8/24,B$9&lt;14/24)</formula>
    </cfRule>
    <cfRule type="expression" dxfId="2261" priority="74">
      <formula>AND(B$9&gt;=14/24,B$9&lt;20/24)</formula>
    </cfRule>
    <cfRule type="expression" dxfId="2260" priority="73">
      <formula>B$9&gt;=20/24</formula>
    </cfRule>
  </conditionalFormatting>
  <conditionalFormatting sqref="B54:C58 C64:D64">
    <cfRule type="expression" dxfId="2259" priority="68">
      <formula>B54&gt;$AG54</formula>
    </cfRule>
  </conditionalFormatting>
  <conditionalFormatting sqref="B55:D58 B59:N59">
    <cfRule type="expression" dxfId="2258" priority="98">
      <formula>B$9&lt;8/24</formula>
    </cfRule>
    <cfRule type="expression" dxfId="2257" priority="97">
      <formula>AND(B$9&gt;=8/24,B$9&lt;14/24)</formula>
    </cfRule>
    <cfRule type="expression" dxfId="2256" priority="96">
      <formula>AND(B$9&gt;=14/24,B$9&lt;20/24)</formula>
    </cfRule>
    <cfRule type="expression" dxfId="2255" priority="95">
      <formula>B$9&gt;=20/24</formula>
    </cfRule>
  </conditionalFormatting>
  <conditionalFormatting sqref="B60:S60">
    <cfRule type="expression" dxfId="2254" priority="87">
      <formula>AND(B$9&gt;=14/24,B$9&lt;20/24)</formula>
    </cfRule>
    <cfRule type="expression" dxfId="2253" priority="86">
      <formula>B$9&gt;=20/24</formula>
    </cfRule>
    <cfRule type="expression" dxfId="2252" priority="88">
      <formula>AND(B$9&gt;=8/24,B$9&lt;14/24)</formula>
    </cfRule>
    <cfRule type="expression" dxfId="2251" priority="89">
      <formula>B$9&lt;8/24</formula>
    </cfRule>
  </conditionalFormatting>
  <conditionalFormatting sqref="B11:Z45 B9:AF10">
    <cfRule type="expression" dxfId="2250" priority="58">
      <formula>B$9&gt;=20/24</formula>
    </cfRule>
  </conditionalFormatting>
  <conditionalFormatting sqref="B11:Z46">
    <cfRule type="expression" dxfId="2249" priority="57">
      <formula>B11&gt;$AG11</formula>
    </cfRule>
  </conditionalFormatting>
  <conditionalFormatting sqref="B61:Z66">
    <cfRule type="expression" dxfId="2248" priority="72">
      <formula>B$9&lt;8/24</formula>
    </cfRule>
    <cfRule type="expression" dxfId="2247" priority="69">
      <formula>B$9&gt;=20/24</formula>
    </cfRule>
    <cfRule type="expression" dxfId="2246" priority="70">
      <formula>AND(B$9&gt;=14/24,B$9&lt;20/24)</formula>
    </cfRule>
    <cfRule type="expression" dxfId="2245" priority="71">
      <formula>AND(B$9&gt;=8/24,B$9&lt;14/24)</formula>
    </cfRule>
  </conditionalFormatting>
  <conditionalFormatting sqref="B9:AF10 B11:Z45">
    <cfRule type="expression" dxfId="2244" priority="59">
      <formula>AND(B$9&gt;=14/24,B$9&lt;20/24)</formula>
    </cfRule>
    <cfRule type="expression" dxfId="2243" priority="60">
      <formula>AND(B$9&gt;=8/24,B$9&lt;14/24)</formula>
    </cfRule>
    <cfRule type="expression" dxfId="2242" priority="61">
      <formula>B$9&lt;8/24</formula>
    </cfRule>
  </conditionalFormatting>
  <conditionalFormatting sqref="B46:AF49">
    <cfRule type="expression" dxfId="2241" priority="18">
      <formula>AND(B$9&gt;=8/24,B$9&lt;14/24)</formula>
    </cfRule>
    <cfRule type="expression" dxfId="2240" priority="16">
      <formula>B$9&gt;=20/24</formula>
    </cfRule>
    <cfRule type="expression" dxfId="2239" priority="17">
      <formula>AND(B$9&gt;=14/24,B$9&lt;20/24)</formula>
    </cfRule>
    <cfRule type="expression" dxfId="2238" priority="19">
      <formula>B$9&lt;8/24</formula>
    </cfRule>
  </conditionalFormatting>
  <conditionalFormatting sqref="B47:AF47">
    <cfRule type="expression" dxfId="2237" priority="67">
      <formula>B47&gt;$AG47</formula>
    </cfRule>
  </conditionalFormatting>
  <conditionalFormatting sqref="B51:AF53">
    <cfRule type="expression" dxfId="2236" priority="27">
      <formula>B$9&lt;8/24</formula>
    </cfRule>
    <cfRule type="expression" dxfId="2235" priority="25">
      <formula>AND(B$9&gt;=14/24,B$9&lt;20/24)</formula>
    </cfRule>
    <cfRule type="expression" dxfId="2234" priority="24">
      <formula>B$9&gt;=20/24</formula>
    </cfRule>
    <cfRule type="expression" dxfId="2233" priority="26">
      <formula>AND(B$9&gt;=8/24,B$9&lt;14/24)</formula>
    </cfRule>
  </conditionalFormatting>
  <conditionalFormatting sqref="B69:AF71">
    <cfRule type="expression" dxfId="2232" priority="29">
      <formula>B$9&gt;=20/24</formula>
    </cfRule>
    <cfRule type="expression" dxfId="2231" priority="28">
      <formula>B69&gt;$AG69</formula>
    </cfRule>
    <cfRule type="expression" dxfId="2230" priority="32">
      <formula>B$9&lt;8/24</formula>
    </cfRule>
    <cfRule type="expression" dxfId="2229" priority="31">
      <formula>AND(B$9&gt;=8/24,B$9&lt;14/24)</formula>
    </cfRule>
    <cfRule type="expression" dxfId="2228" priority="30">
      <formula>AND(B$9&gt;=14/24,B$9&lt;20/24)</formula>
    </cfRule>
  </conditionalFormatting>
  <conditionalFormatting sqref="B73:AF91">
    <cfRule type="expression" dxfId="2227" priority="2">
      <formula>AND(B$9&gt;=14/24,B$9&lt;20/24)</formula>
    </cfRule>
    <cfRule type="expression" dxfId="2226" priority="3">
      <formula>AND(B$9&gt;=8/24,B$9&lt;14/24)</formula>
    </cfRule>
    <cfRule type="expression" dxfId="2225" priority="4">
      <formula>B$9&lt;8/24</formula>
    </cfRule>
    <cfRule type="expression" dxfId="2224" priority="1">
      <formula>B$9&gt;=20/24</formula>
    </cfRule>
  </conditionalFormatting>
  <conditionalFormatting sqref="B111:AF120">
    <cfRule type="expression" dxfId="2223" priority="51">
      <formula>AND(B$9&gt;=8/24,B$9&lt;14/24)</formula>
    </cfRule>
    <cfRule type="expression" dxfId="2222" priority="50">
      <formula>AND(B$9&gt;=14/24,B$9&lt;20/24)</formula>
    </cfRule>
    <cfRule type="expression" dxfId="2221" priority="49">
      <formula>B$9&gt;=20/24</formula>
    </cfRule>
    <cfRule type="expression" dxfId="2220" priority="52">
      <formula>B$9&lt;8/24</formula>
    </cfRule>
  </conditionalFormatting>
  <conditionalFormatting sqref="B227:AF227 D229:AF230 B229:B235 D231:H231 J231:AF231 D232:AF235 U248:AF248">
    <cfRule type="expression" dxfId="2219" priority="146">
      <formula>B$9&lt;8/24</formula>
    </cfRule>
    <cfRule type="expression" dxfId="2218" priority="145">
      <formula>AND(B$9&gt;=8/24,B$9&lt;14/24)</formula>
    </cfRule>
    <cfRule type="expression" dxfId="2217" priority="144">
      <formula>AND(B$9&gt;=14/24,B$9&lt;20/24)</formula>
    </cfRule>
    <cfRule type="expression" dxfId="2216" priority="143">
      <formula>B$9&gt;=20/24</formula>
    </cfRule>
  </conditionalFormatting>
  <conditionalFormatting sqref="B67:AG68 B72:AG72">
    <cfRule type="expression" dxfId="2215" priority="77">
      <formula>B67&gt;$AG67</formula>
    </cfRule>
  </conditionalFormatting>
  <conditionalFormatting sqref="B72:AG72 B93:AF109">
    <cfRule type="expression" dxfId="2214" priority="78">
      <formula>B$9&gt;=20/24</formula>
    </cfRule>
    <cfRule type="expression" dxfId="2213" priority="79">
      <formula>AND(B$9&gt;=14/24,B$9&lt;20/24)</formula>
    </cfRule>
    <cfRule type="expression" dxfId="2212" priority="80">
      <formula>AND(B$9&gt;=8/24,B$9&lt;14/24)</formula>
    </cfRule>
    <cfRule type="expression" dxfId="2211" priority="81">
      <formula>B$9&lt;8/24</formula>
    </cfRule>
  </conditionalFormatting>
  <conditionalFormatting sqref="D55:Q58 B59:Q66">
    <cfRule type="expression" dxfId="2210" priority="40">
      <formula>B55&gt;$AG55</formula>
    </cfRule>
  </conditionalFormatting>
  <conditionalFormatting sqref="D54:AG54">
    <cfRule type="expression" dxfId="2209" priority="112">
      <formula>D$9&gt;=20/24</formula>
    </cfRule>
    <cfRule type="expression" dxfId="2208" priority="115">
      <formula>D$9&lt;8/24</formula>
    </cfRule>
    <cfRule type="expression" dxfId="2207" priority="114">
      <formula>AND(D$9&gt;=8/24,D$9&lt;14/24)</formula>
    </cfRule>
    <cfRule type="expression" dxfId="2206" priority="113">
      <formula>AND(D$9&gt;=14/24,D$9&lt;20/24)</formula>
    </cfRule>
    <cfRule type="expression" dxfId="2205" priority="111">
      <formula>D54&gt;$AG54</formula>
    </cfRule>
  </conditionalFormatting>
  <conditionalFormatting sqref="E55:N57">
    <cfRule type="expression" dxfId="2204" priority="127">
      <formula>E$9&lt;8/24</formula>
    </cfRule>
    <cfRule type="expression" dxfId="2203" priority="125">
      <formula>AND(E$9&gt;=14/24,E$9&lt;20/24)</formula>
    </cfRule>
    <cfRule type="expression" dxfId="2202" priority="126">
      <formula>AND(E$9&gt;=8/24,E$9&lt;14/24)</formula>
    </cfRule>
    <cfRule type="expression" dxfId="2201" priority="124">
      <formula>E$9&gt;=20/24</formula>
    </cfRule>
  </conditionalFormatting>
  <conditionalFormatting sqref="M55:Q58 B59:Q59 S59 R55:R59">
    <cfRule type="expression" dxfId="2200" priority="128">
      <formula>B$9&gt;=20/24</formula>
    </cfRule>
  </conditionalFormatting>
  <conditionalFormatting sqref="M55:Q58 R55:R59 B59:Q59 S59">
    <cfRule type="expression" dxfId="2199" priority="129">
      <formula>AND(B$9&gt;=14/24,B$9&lt;20/24)</formula>
    </cfRule>
    <cfRule type="expression" dxfId="2198" priority="130">
      <formula>AND(B$9&gt;=8/24,B$9&lt;14/24)</formula>
    </cfRule>
    <cfRule type="expression" dxfId="2197" priority="131">
      <formula>B$9&lt;8/24</formula>
    </cfRule>
  </conditionalFormatting>
  <conditionalFormatting sqref="O3:P3">
    <cfRule type="iconSet" priority="147">
      <iconSet iconSet="3TrafficLights2" reverse="1">
        <cfvo type="percent" val="0"/>
        <cfvo type="num" val="1"/>
        <cfvo type="num" val="1"/>
      </iconSet>
    </cfRule>
  </conditionalFormatting>
  <conditionalFormatting sqref="R55:AF66">
    <cfRule type="expression" dxfId="2196" priority="5">
      <formula>R55&gt;$AG55</formula>
    </cfRule>
  </conditionalFormatting>
  <conditionalFormatting sqref="S8 AB8 B8 M8">
    <cfRule type="expression" dxfId="2195" priority="149">
      <formula>C$9&gt;=20/24</formula>
    </cfRule>
  </conditionalFormatting>
  <conditionalFormatting sqref="S8">
    <cfRule type="expression" dxfId="2194" priority="136">
      <formula>U$9&gt;=20/24</formula>
    </cfRule>
    <cfRule type="expression" dxfId="2193" priority="137">
      <formula>AND(U$9&gt;=14/24,U$9&lt;20/24)</formula>
    </cfRule>
    <cfRule type="expression" dxfId="2192" priority="138">
      <formula>AND(U$9&gt;=8/24,U$9&lt;14/24)</formula>
    </cfRule>
    <cfRule type="expression" dxfId="2191" priority="139">
      <formula>U$9&lt;8/24</formula>
    </cfRule>
  </conditionalFormatting>
  <conditionalFormatting sqref="S55:AF60">
    <cfRule type="expression" dxfId="2190" priority="6">
      <formula>S$9&gt;=20/24</formula>
    </cfRule>
    <cfRule type="expression" dxfId="2189" priority="9">
      <formula>S$9&lt;8/24</formula>
    </cfRule>
    <cfRule type="expression" dxfId="2188" priority="8">
      <formula>AND(S$9&gt;=8/24,S$9&lt;14/24)</formula>
    </cfRule>
    <cfRule type="expression" dxfId="2187" priority="7">
      <formula>AND(S$9&gt;=14/24,S$9&lt;20/24)</formula>
    </cfRule>
  </conditionalFormatting>
  <conditionalFormatting sqref="T248">
    <cfRule type="expression" dxfId="2186" priority="164">
      <formula>AX$9&lt;8/24</formula>
    </cfRule>
    <cfRule type="expression" dxfId="2185" priority="161">
      <formula>AX$9&gt;=20/24</formula>
    </cfRule>
    <cfRule type="expression" dxfId="2184" priority="162">
      <formula>AND(AX$9&gt;=14/24,AX$9&lt;20/24)</formula>
    </cfRule>
    <cfRule type="expression" dxfId="2183" priority="163">
      <formula>AND(AX$9&gt;=8/24,AX$9&lt;14/24)</formula>
    </cfRule>
  </conditionalFormatting>
  <conditionalFormatting sqref="V3 AB3">
    <cfRule type="iconSet" priority="148">
      <iconSet iconSet="3TrafficLights2" reverse="1">
        <cfvo type="percent" val="0"/>
        <cfvo type="num" val="1"/>
        <cfvo type="num" val="1"/>
      </iconSet>
    </cfRule>
  </conditionalFormatting>
  <conditionalFormatting sqref="AA11:AF45">
    <cfRule type="expression" dxfId="2182" priority="12">
      <formula>AND(AA$9&gt;=14/24,AA$9&lt;20/24)</formula>
    </cfRule>
    <cfRule type="expression" dxfId="2181" priority="11">
      <formula>AA$9&gt;=20/24</formula>
    </cfRule>
    <cfRule type="expression" dxfId="2180" priority="13">
      <formula>AND(AA$9&gt;=8/24,AA$9&lt;14/24)</formula>
    </cfRule>
    <cfRule type="expression" dxfId="2179" priority="14">
      <formula>AA$9&lt;8/24</formula>
    </cfRule>
  </conditionalFormatting>
  <conditionalFormatting sqref="AA11:AF46">
    <cfRule type="expression" dxfId="2178" priority="10">
      <formula>AA11&gt;$AG11</formula>
    </cfRule>
  </conditionalFormatting>
  <conditionalFormatting sqref="AA61:AF66">
    <cfRule type="expression" dxfId="2177" priority="23">
      <formula>AA$9&lt;8/24</formula>
    </cfRule>
    <cfRule type="expression" dxfId="2176" priority="22">
      <formula>AND(AA$9&gt;=8/24,AA$9&lt;14/24)</formula>
    </cfRule>
    <cfRule type="expression" dxfId="2175" priority="21">
      <formula>AND(AA$9&gt;=14/24,AA$9&lt;20/24)</formula>
    </cfRule>
    <cfRule type="expression" dxfId="2174" priority="20">
      <formula>AA$9&gt;=20/24</formula>
    </cfRule>
  </conditionalFormatting>
  <conditionalFormatting sqref="AB8">
    <cfRule type="expression" dxfId="2173" priority="133">
      <formula>AND(AD$9&gt;=14/24,AD$9&lt;20/24)</formula>
    </cfRule>
    <cfRule type="expression" dxfId="2172" priority="134">
      <formula>AND(AD$9&gt;=8/24,AD$9&lt;14/24)</formula>
    </cfRule>
    <cfRule type="expression" dxfId="2171" priority="135">
      <formula>AD$9&lt;8/24</formula>
    </cfRule>
    <cfRule type="expression" dxfId="2170" priority="132">
      <formula>AD$9&gt;=20/24</formula>
    </cfRule>
  </conditionalFormatting>
  <conditionalFormatting sqref="AB48:AF49 B48:AA53 AB51:AF53">
    <cfRule type="expression" dxfId="2169" priority="15">
      <formula>B48&gt;$AG48</formula>
    </cfRule>
  </conditionalFormatting>
  <conditionalFormatting sqref="AB50:AG50">
    <cfRule type="expression" dxfId="2168" priority="62">
      <formula>AB50&gt;$AG50</formula>
    </cfRule>
  </conditionalFormatting>
  <conditionalFormatting sqref="AG89">
    <cfRule type="expression" dxfId="2167" priority="120">
      <formula>AG$9&gt;=20/24</formula>
    </cfRule>
    <cfRule type="expression" dxfId="2166" priority="121">
      <formula>AND(AG$9&gt;=14/24,AG$9&lt;20/24)</formula>
    </cfRule>
    <cfRule type="expression" dxfId="2165" priority="122">
      <formula>AND(AG$9&gt;=8/24,AG$9&lt;14/24)</formula>
    </cfRule>
    <cfRule type="expression" dxfId="2164" priority="123">
      <formula>AG$9&lt;8/24</formula>
    </cfRule>
  </conditionalFormatting>
  <conditionalFormatting sqref="AG248">
    <cfRule type="expression" dxfId="2163" priority="153">
      <formula>B$9&gt;=20/24</formula>
    </cfRule>
    <cfRule type="expression" dxfId="2162" priority="156">
      <formula>B$9&lt;8/24</formula>
    </cfRule>
    <cfRule type="expression" dxfId="2161" priority="155">
      <formula>AND(B$9&gt;=8/24,B$9&lt;14/24)</formula>
    </cfRule>
    <cfRule type="expression" dxfId="2160" priority="154">
      <formula>AND(B$9&gt;=14/24,B$9&lt;20/24)</formula>
    </cfRule>
  </conditionalFormatting>
  <conditionalFormatting sqref="AH248:AX248">
    <cfRule type="expression" dxfId="2159" priority="160">
      <formula>AG$9&lt;8/24</formula>
    </cfRule>
    <cfRule type="expression" dxfId="2158" priority="159">
      <formula>AND(AG$9&gt;=8/24,AG$9&lt;14/24)</formula>
    </cfRule>
    <cfRule type="expression" dxfId="2157" priority="158">
      <formula>AND(AG$9&gt;=14/24,AG$9&lt;20/24)</formula>
    </cfRule>
    <cfRule type="expression" dxfId="2156" priority="157">
      <formula>AG$9&gt;=20/24</formula>
    </cfRule>
  </conditionalFormatting>
  <conditionalFormatting sqref="AL4:AL6">
    <cfRule type="iconSet" priority="142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02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01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1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41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40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00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65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155" priority="166">
      <formula>AJ$9&gt;=20/24</formula>
    </cfRule>
    <cfRule type="expression" dxfId="2154" priority="167">
      <formula>AND(AJ$9&gt;=14/24,AJ$9&lt;20/24)</formula>
    </cfRule>
    <cfRule type="expression" dxfId="2153" priority="168">
      <formula>AND(AJ$9&gt;=8/24,AJ$9&lt;14/24)</formula>
    </cfRule>
    <cfRule type="expression" dxfId="2152" priority="169">
      <formula>AJ$9&lt;8/24</formula>
    </cfRule>
  </conditionalFormatting>
  <conditionalFormatting sqref="AL80:AN80 AL86:AN86">
    <cfRule type="expression" dxfId="2151" priority="109">
      <formula>AND(AL$9&gt;=8/24,AL$9&lt;14/24)</formula>
    </cfRule>
    <cfRule type="expression" dxfId="2150" priority="108">
      <formula>AND(AL$9&gt;=14/24,AL$9&lt;20/24)</formula>
    </cfRule>
    <cfRule type="expression" dxfId="2149" priority="107">
      <formula>AL$9&gt;=20/24</formula>
    </cfRule>
    <cfRule type="expression" dxfId="2148" priority="110">
      <formula>AL$9&lt;8/24</formula>
    </cfRule>
  </conditionalFormatting>
  <conditionalFormatting sqref="AN81:AN84">
    <cfRule type="expression" dxfId="2147" priority="103">
      <formula>AN$9&gt;=20/24</formula>
    </cfRule>
    <cfRule type="expression" dxfId="2146" priority="106">
      <formula>AN$9&lt;8/24</formula>
    </cfRule>
    <cfRule type="expression" dxfId="2145" priority="105">
      <formula>AND(AN$9&gt;=8/24,AN$9&lt;14/24)</formula>
    </cfRule>
    <cfRule type="expression" dxfId="2144" priority="104">
      <formula>AND(AN$9&gt;=14/24,AN$9&lt;20/24)</formula>
    </cfRule>
  </conditionalFormatting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DBF57-53B2-4546-B61C-37BA4F3F270C}">
  <sheetPr codeName="Sheet18"/>
  <dimension ref="A1:CJ281"/>
  <sheetViews>
    <sheetView workbookViewId="0">
      <pane xSplit="1" ySplit="10" topLeftCell="H10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H119" sqref="H119:T11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6.8554687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2080/05/16</v>
      </c>
      <c r="C4" s="196"/>
      <c r="D4" s="196"/>
      <c r="E4" s="197" t="str">
        <f ca="1">"2080/"&amp;"05/"&amp;INT(MID(CELL("filename",G6),FIND("]",CELL("filename",G6))+1,200))</f>
        <v>2080/05/16</v>
      </c>
      <c r="F4" s="197"/>
      <c r="G4" s="197"/>
      <c r="H4" s="197" t="str">
        <f ca="1">TEXT(E4,"dddd")</f>
        <v>Thursday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0.8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2042MW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Load=1962</v>
      </c>
      <c r="B7" s="35">
        <f t="shared" ref="B7:AF7" si="1">B91</f>
        <v>1989.2400000000002</v>
      </c>
      <c r="C7" s="35">
        <f t="shared" si="1"/>
        <v>1980.5400000000002</v>
      </c>
      <c r="D7" s="35">
        <f t="shared" si="1"/>
        <v>1980.5400000000002</v>
      </c>
      <c r="E7" s="35">
        <f t="shared" si="1"/>
        <v>1980.5400000000002</v>
      </c>
      <c r="F7" s="35">
        <f t="shared" si="1"/>
        <v>1980.5400000000002</v>
      </c>
      <c r="G7" s="35">
        <f t="shared" si="1"/>
        <v>1980.5400000000002</v>
      </c>
      <c r="H7" s="35">
        <f t="shared" si="1"/>
        <v>1980.5400000000002</v>
      </c>
      <c r="I7" s="35">
        <f t="shared" si="1"/>
        <v>1980.5400000000002</v>
      </c>
      <c r="J7" s="35">
        <f t="shared" si="1"/>
        <v>1980.5400000000002</v>
      </c>
      <c r="K7" s="35">
        <f t="shared" si="1"/>
        <v>1990.5400000000002</v>
      </c>
      <c r="L7" s="35">
        <f t="shared" si="1"/>
        <v>2033.5400000000002</v>
      </c>
      <c r="M7" s="35">
        <f t="shared" si="1"/>
        <v>2031.2400000000002</v>
      </c>
      <c r="N7" s="35">
        <f>N91</f>
        <v>2041.8400000000001</v>
      </c>
      <c r="O7" s="35">
        <f t="shared" si="1"/>
        <v>2041.2400000000002</v>
      </c>
      <c r="P7" s="35">
        <f t="shared" si="1"/>
        <v>1972.64</v>
      </c>
      <c r="Q7" s="35">
        <f t="shared" si="1"/>
        <v>1998.1399999999999</v>
      </c>
      <c r="R7" s="35">
        <f t="shared" si="1"/>
        <v>1986.2400000000002</v>
      </c>
      <c r="S7" s="35">
        <f t="shared" si="1"/>
        <v>1987.0400000000002</v>
      </c>
      <c r="T7" s="35">
        <f t="shared" si="1"/>
        <v>1979.0400000000002</v>
      </c>
      <c r="U7" s="35">
        <f t="shared" si="1"/>
        <v>1975.0400000000002</v>
      </c>
      <c r="V7" s="35">
        <f t="shared" si="1"/>
        <v>1983.7400000000002</v>
      </c>
      <c r="W7" s="35">
        <f t="shared" si="1"/>
        <v>1982.5400000000002</v>
      </c>
      <c r="X7" s="35">
        <f t="shared" si="1"/>
        <v>1961.74</v>
      </c>
      <c r="Y7" s="35">
        <f t="shared" si="1"/>
        <v>2068.84</v>
      </c>
      <c r="Z7" s="35">
        <f t="shared" si="1"/>
        <v>2096.5</v>
      </c>
      <c r="AA7" s="35">
        <f t="shared" si="1"/>
        <v>2151.23</v>
      </c>
      <c r="AB7" s="35">
        <f t="shared" si="1"/>
        <v>2161.4299999999998</v>
      </c>
      <c r="AC7" s="35">
        <f t="shared" si="1"/>
        <v>2152.1299999999997</v>
      </c>
      <c r="AD7" s="35">
        <f t="shared" si="1"/>
        <v>2124.33</v>
      </c>
      <c r="AE7" s="35">
        <f t="shared" si="1"/>
        <v>2019.33</v>
      </c>
      <c r="AF7" s="35">
        <f t="shared" si="1"/>
        <v>1996.73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86</v>
      </c>
      <c r="S11" s="45">
        <v>86</v>
      </c>
      <c r="T11" s="45">
        <v>86</v>
      </c>
      <c r="U11" s="45">
        <v>86</v>
      </c>
      <c r="V11" s="45">
        <v>86</v>
      </c>
      <c r="W11" s="45">
        <v>86</v>
      </c>
      <c r="X11" s="45">
        <v>86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90.1</v>
      </c>
      <c r="AF11" s="45">
        <v>90.1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5</v>
      </c>
      <c r="M12" s="45">
        <v>5</v>
      </c>
      <c r="N12" s="45">
        <v>13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52.9</v>
      </c>
      <c r="C13" s="45">
        <v>52.9</v>
      </c>
      <c r="D13" s="45">
        <v>52.9</v>
      </c>
      <c r="E13" s="45">
        <v>52.9</v>
      </c>
      <c r="F13" s="45">
        <v>52.9</v>
      </c>
      <c r="G13" s="45">
        <v>52.9</v>
      </c>
      <c r="H13" s="45">
        <v>52.9</v>
      </c>
      <c r="I13" s="45">
        <v>52.9</v>
      </c>
      <c r="J13" s="45">
        <v>52.9</v>
      </c>
      <c r="K13" s="45">
        <v>52.9</v>
      </c>
      <c r="L13" s="45">
        <v>52.9</v>
      </c>
      <c r="M13" s="45">
        <v>52.9</v>
      </c>
      <c r="N13" s="45">
        <v>52.9</v>
      </c>
      <c r="O13" s="45">
        <v>52.9</v>
      </c>
      <c r="P13" s="45">
        <v>54.4</v>
      </c>
      <c r="Q13" s="45">
        <v>54.4</v>
      </c>
      <c r="R13" s="45">
        <v>51.4</v>
      </c>
      <c r="S13" s="45">
        <v>51.4</v>
      </c>
      <c r="T13" s="45">
        <v>51.4</v>
      </c>
      <c r="U13" s="45">
        <v>51.4</v>
      </c>
      <c r="V13" s="45">
        <v>51.4</v>
      </c>
      <c r="W13" s="45">
        <v>51.4</v>
      </c>
      <c r="X13" s="45">
        <v>51.4</v>
      </c>
      <c r="Y13" s="45">
        <v>54.4</v>
      </c>
      <c r="Z13" s="45">
        <v>54.4</v>
      </c>
      <c r="AA13" s="45">
        <v>54.4</v>
      </c>
      <c r="AB13" s="45">
        <v>54.4</v>
      </c>
      <c r="AC13" s="45">
        <v>54.4</v>
      </c>
      <c r="AD13" s="45">
        <v>54.4</v>
      </c>
      <c r="AE13" s="45">
        <v>54.4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51.4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0</v>
      </c>
      <c r="Q14" s="58">
        <v>50.5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50.4</v>
      </c>
      <c r="AG14" s="49">
        <v>50</v>
      </c>
      <c r="AH14" s="47">
        <f t="shared" si="2"/>
        <v>50.6</v>
      </c>
      <c r="AI14" s="48">
        <f t="shared" si="3"/>
        <v>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46.9</v>
      </c>
      <c r="C15" s="45">
        <v>46.9</v>
      </c>
      <c r="D15" s="45">
        <v>46.9</v>
      </c>
      <c r="E15" s="45">
        <v>46.9</v>
      </c>
      <c r="F15" s="45">
        <v>46.9</v>
      </c>
      <c r="G15" s="45">
        <v>46.9</v>
      </c>
      <c r="H15" s="45">
        <v>46.9</v>
      </c>
      <c r="I15" s="45">
        <v>46.9</v>
      </c>
      <c r="J15" s="45">
        <v>46.9</v>
      </c>
      <c r="K15" s="45">
        <v>46.9</v>
      </c>
      <c r="L15" s="45">
        <v>46.9</v>
      </c>
      <c r="M15" s="45">
        <v>46.9</v>
      </c>
      <c r="N15" s="45">
        <v>46.9</v>
      </c>
      <c r="O15" s="45">
        <v>46.9</v>
      </c>
      <c r="P15" s="45">
        <v>37.5</v>
      </c>
      <c r="Q15" s="45">
        <v>37.5</v>
      </c>
      <c r="R15" s="45">
        <v>37.4</v>
      </c>
      <c r="S15" s="45">
        <v>37.4</v>
      </c>
      <c r="T15" s="45">
        <v>37.4</v>
      </c>
      <c r="U15" s="45">
        <v>37.4</v>
      </c>
      <c r="V15" s="45">
        <v>37.4</v>
      </c>
      <c r="W15" s="45">
        <v>37.4</v>
      </c>
      <c r="X15" s="45">
        <v>37.4</v>
      </c>
      <c r="Y15" s="45">
        <v>47.1</v>
      </c>
      <c r="Z15" s="45">
        <v>47.1</v>
      </c>
      <c r="AA15" s="45">
        <v>47.1</v>
      </c>
      <c r="AB15" s="45">
        <v>47.1</v>
      </c>
      <c r="AC15" s="45">
        <v>47.1</v>
      </c>
      <c r="AD15" s="45">
        <v>47.1</v>
      </c>
      <c r="AE15" s="45">
        <v>47.1</v>
      </c>
      <c r="AF15" s="45">
        <v>46.9</v>
      </c>
      <c r="AG15" s="49">
        <v>45</v>
      </c>
      <c r="AH15" s="47">
        <f t="shared" si="2"/>
        <v>47.1</v>
      </c>
      <c r="AI15" s="48">
        <f t="shared" si="3"/>
        <v>37.4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40</v>
      </c>
      <c r="S16" s="45">
        <v>40</v>
      </c>
      <c r="T16" s="45">
        <v>40</v>
      </c>
      <c r="U16" s="45">
        <v>40</v>
      </c>
      <c r="V16" s="45">
        <v>40</v>
      </c>
      <c r="W16" s="45">
        <v>40</v>
      </c>
      <c r="X16" s="45">
        <v>40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>
        <v>28.4</v>
      </c>
      <c r="G17" s="45">
        <v>28.4</v>
      </c>
      <c r="H17" s="45">
        <v>28.4</v>
      </c>
      <c r="I17" s="45">
        <v>28.4</v>
      </c>
      <c r="J17" s="45">
        <v>28.4</v>
      </c>
      <c r="K17" s="45">
        <v>28.4</v>
      </c>
      <c r="L17" s="45">
        <v>28.4</v>
      </c>
      <c r="M17" s="45">
        <v>28.4</v>
      </c>
      <c r="N17" s="45">
        <v>28.4</v>
      </c>
      <c r="O17" s="45">
        <v>28.4</v>
      </c>
      <c r="P17" s="45">
        <v>28.4</v>
      </c>
      <c r="Q17" s="45">
        <v>29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28.4</v>
      </c>
      <c r="Z17" s="45">
        <v>28.4</v>
      </c>
      <c r="AA17" s="45">
        <v>28.4</v>
      </c>
      <c r="AB17" s="45">
        <v>28.4</v>
      </c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29</v>
      </c>
      <c r="AI17" s="48">
        <f t="shared" si="3"/>
        <v>28.4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38.46</v>
      </c>
      <c r="AA18" s="45">
        <v>38.46</v>
      </c>
      <c r="AB18" s="45">
        <v>38.46</v>
      </c>
      <c r="AC18" s="45">
        <v>38.46</v>
      </c>
      <c r="AD18" s="45">
        <v>38.46</v>
      </c>
      <c r="AE18" s="45">
        <v>38.46</v>
      </c>
      <c r="AF18" s="45">
        <v>38.46</v>
      </c>
      <c r="AG18" s="49">
        <v>38.46</v>
      </c>
      <c r="AH18" s="47">
        <f t="shared" si="2"/>
        <v>38.46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30</v>
      </c>
      <c r="S19" s="45">
        <v>30</v>
      </c>
      <c r="T19" s="45">
        <v>30</v>
      </c>
      <c r="U19" s="45">
        <v>30</v>
      </c>
      <c r="V19" s="45">
        <v>30</v>
      </c>
      <c r="W19" s="45">
        <v>30</v>
      </c>
      <c r="X19" s="45">
        <v>30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5</v>
      </c>
      <c r="L20" s="45">
        <v>15</v>
      </c>
      <c r="M20" s="45">
        <v>5.2</v>
      </c>
      <c r="N20" s="45">
        <v>5.2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16</v>
      </c>
      <c r="Z20" s="45">
        <v>30</v>
      </c>
      <c r="AA20" s="45">
        <v>30</v>
      </c>
      <c r="AB20" s="45">
        <v>30</v>
      </c>
      <c r="AC20" s="45">
        <v>24.7</v>
      </c>
      <c r="AD20" s="45">
        <v>15</v>
      </c>
      <c r="AE20" s="45">
        <v>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20</v>
      </c>
      <c r="Q21" s="45">
        <v>20</v>
      </c>
      <c r="R21" s="45">
        <v>20.8</v>
      </c>
      <c r="S21" s="45">
        <v>20.8</v>
      </c>
      <c r="T21" s="45">
        <v>20.8</v>
      </c>
      <c r="U21" s="45">
        <v>20.8</v>
      </c>
      <c r="V21" s="45">
        <v>20.8</v>
      </c>
      <c r="W21" s="45">
        <v>20.8</v>
      </c>
      <c r="X21" s="45">
        <v>20.8</v>
      </c>
      <c r="Y21" s="45">
        <v>26.3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26</v>
      </c>
      <c r="AF21" s="45">
        <v>24.8</v>
      </c>
      <c r="AG21" s="49">
        <v>24.2</v>
      </c>
      <c r="AH21" s="47">
        <f t="shared" si="2"/>
        <v>33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23.5</v>
      </c>
      <c r="C22" s="45">
        <v>23.5</v>
      </c>
      <c r="D22" s="45">
        <v>23.5</v>
      </c>
      <c r="E22" s="45">
        <v>23.5</v>
      </c>
      <c r="F22" s="45">
        <v>23.5</v>
      </c>
      <c r="G22" s="45">
        <v>23.5</v>
      </c>
      <c r="H22" s="45">
        <v>23.5</v>
      </c>
      <c r="I22" s="45">
        <v>23.5</v>
      </c>
      <c r="J22" s="45">
        <v>23.5</v>
      </c>
      <c r="K22" s="45">
        <v>23.5</v>
      </c>
      <c r="L22" s="45">
        <v>23.5</v>
      </c>
      <c r="M22" s="45">
        <v>20.399999999999999</v>
      </c>
      <c r="N22" s="45">
        <v>20.399999999999999</v>
      </c>
      <c r="O22" s="45">
        <v>20.399999999999999</v>
      </c>
      <c r="P22" s="45">
        <v>20.399999999999999</v>
      </c>
      <c r="Q22" s="45">
        <v>20.399999999999999</v>
      </c>
      <c r="R22" s="45">
        <v>20.399999999999999</v>
      </c>
      <c r="S22" s="45">
        <v>20.399999999999999</v>
      </c>
      <c r="T22" s="45">
        <v>20.399999999999999</v>
      </c>
      <c r="U22" s="45">
        <v>20.399999999999999</v>
      </c>
      <c r="V22" s="45">
        <v>20.399999999999999</v>
      </c>
      <c r="W22" s="45">
        <v>20.399999999999999</v>
      </c>
      <c r="X22" s="45">
        <v>0</v>
      </c>
      <c r="Y22" s="45">
        <v>28.4</v>
      </c>
      <c r="Z22" s="45">
        <v>28.4</v>
      </c>
      <c r="AA22" s="45">
        <v>28.4</v>
      </c>
      <c r="AB22" s="45">
        <v>28.4</v>
      </c>
      <c r="AC22" s="45">
        <v>28.4</v>
      </c>
      <c r="AD22" s="45">
        <v>28.4</v>
      </c>
      <c r="AE22" s="45">
        <v>28.4</v>
      </c>
      <c r="AF22" s="45">
        <v>28.4</v>
      </c>
      <c r="AG22" s="49">
        <v>28</v>
      </c>
      <c r="AH22" s="47">
        <f t="shared" si="2"/>
        <v>28.4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5</v>
      </c>
      <c r="M23" s="45">
        <v>5</v>
      </c>
      <c r="N23" s="45">
        <v>5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13.5</v>
      </c>
      <c r="Z23" s="45">
        <v>27</v>
      </c>
      <c r="AA23" s="45">
        <v>27</v>
      </c>
      <c r="AB23" s="45">
        <v>27</v>
      </c>
      <c r="AC23" s="45">
        <f>0.8*27</f>
        <v>21.6</v>
      </c>
      <c r="AD23" s="45">
        <f>0.8*27</f>
        <v>21.6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24.1</v>
      </c>
      <c r="C24" s="45">
        <v>24.1</v>
      </c>
      <c r="D24" s="45">
        <v>24.1</v>
      </c>
      <c r="E24" s="45">
        <v>24.1</v>
      </c>
      <c r="F24" s="45">
        <v>24.1</v>
      </c>
      <c r="G24" s="45">
        <v>24.1</v>
      </c>
      <c r="H24" s="45">
        <v>24.1</v>
      </c>
      <c r="I24" s="45">
        <v>24.1</v>
      </c>
      <c r="J24" s="45">
        <v>24.1</v>
      </c>
      <c r="K24" s="45">
        <v>24.1</v>
      </c>
      <c r="L24" s="45">
        <v>24.1</v>
      </c>
      <c r="M24" s="45">
        <v>26.1</v>
      </c>
      <c r="N24" s="45">
        <v>26.1</v>
      </c>
      <c r="O24" s="45">
        <v>24.3</v>
      </c>
      <c r="P24" s="45">
        <v>24.3</v>
      </c>
      <c r="Q24" s="45">
        <v>24.3</v>
      </c>
      <c r="R24" s="45">
        <v>20.8</v>
      </c>
      <c r="S24" s="45">
        <v>20.8</v>
      </c>
      <c r="T24" s="45">
        <v>20.8</v>
      </c>
      <c r="U24" s="45">
        <v>20.8</v>
      </c>
      <c r="V24" s="45">
        <v>20.8</v>
      </c>
      <c r="W24" s="45">
        <v>20.8</v>
      </c>
      <c r="X24" s="45">
        <v>20.8</v>
      </c>
      <c r="Y24" s="45">
        <v>24.4</v>
      </c>
      <c r="Z24" s="45">
        <v>24.4</v>
      </c>
      <c r="AA24" s="45">
        <v>24.4</v>
      </c>
      <c r="AB24" s="45">
        <v>24.4</v>
      </c>
      <c r="AC24" s="45">
        <v>24.4</v>
      </c>
      <c r="AD24" s="45">
        <v>24.4</v>
      </c>
      <c r="AE24" s="45">
        <v>0</v>
      </c>
      <c r="AF24" s="45">
        <v>0</v>
      </c>
      <c r="AG24" s="49">
        <v>25</v>
      </c>
      <c r="AH24" s="47">
        <f t="shared" si="2"/>
        <v>26.1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20</v>
      </c>
      <c r="S26" s="45">
        <v>20</v>
      </c>
      <c r="T26" s="45">
        <v>20</v>
      </c>
      <c r="U26" s="45">
        <v>20</v>
      </c>
      <c r="V26" s="45">
        <v>20</v>
      </c>
      <c r="W26" s="45">
        <v>20</v>
      </c>
      <c r="X26" s="45">
        <v>20</v>
      </c>
      <c r="Y26" s="45">
        <v>25</v>
      </c>
      <c r="Z26" s="45">
        <v>25</v>
      </c>
      <c r="AA26" s="45">
        <v>0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5</v>
      </c>
      <c r="M27" s="45">
        <v>5</v>
      </c>
      <c r="N27" s="45">
        <v>5</v>
      </c>
      <c r="O27" s="45">
        <v>5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12.5</v>
      </c>
      <c r="Z27" s="45">
        <v>25</v>
      </c>
      <c r="AA27" s="45">
        <v>25</v>
      </c>
      <c r="AB27" s="45">
        <v>25</v>
      </c>
      <c r="AC27" s="45">
        <f>0.8*25</f>
        <v>20</v>
      </c>
      <c r="AD27" s="45">
        <v>12.5</v>
      </c>
      <c r="AE27" s="45">
        <v>12.5</v>
      </c>
      <c r="AF27" s="45">
        <v>12.5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18</v>
      </c>
      <c r="S29" s="45">
        <v>18</v>
      </c>
      <c r="T29" s="45">
        <v>18</v>
      </c>
      <c r="U29" s="45">
        <v>18</v>
      </c>
      <c r="V29" s="45">
        <v>18</v>
      </c>
      <c r="W29" s="45">
        <v>18</v>
      </c>
      <c r="X29" s="45">
        <v>18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18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5</v>
      </c>
      <c r="L33" s="45">
        <v>5</v>
      </c>
      <c r="M33" s="45">
        <v>5</v>
      </c>
      <c r="N33" s="45">
        <v>5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4</v>
      </c>
      <c r="Z33" s="45">
        <v>4</v>
      </c>
      <c r="AA33" s="45">
        <v>10</v>
      </c>
      <c r="AB33" s="45">
        <v>8</v>
      </c>
      <c r="AC33" s="45">
        <v>8</v>
      </c>
      <c r="AD33" s="45">
        <v>8</v>
      </c>
      <c r="AE33" s="45">
        <v>5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4</v>
      </c>
      <c r="D34" s="45">
        <v>4</v>
      </c>
      <c r="E34" s="45">
        <v>4</v>
      </c>
      <c r="F34" s="45">
        <v>4</v>
      </c>
      <c r="G34" s="45">
        <v>4</v>
      </c>
      <c r="H34" s="45">
        <v>4</v>
      </c>
      <c r="I34" s="45">
        <v>4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4</v>
      </c>
      <c r="Z34" s="45">
        <v>4</v>
      </c>
      <c r="AA34" s="45">
        <v>4</v>
      </c>
      <c r="AB34" s="45">
        <v>6</v>
      </c>
      <c r="AC34" s="45">
        <v>6</v>
      </c>
      <c r="AD34" s="45">
        <v>6</v>
      </c>
      <c r="AE34" s="45">
        <v>4</v>
      </c>
      <c r="AF34" s="45">
        <v>0</v>
      </c>
      <c r="AG34" s="49">
        <v>18</v>
      </c>
      <c r="AH34" s="47">
        <f t="shared" si="2"/>
        <v>6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14</v>
      </c>
      <c r="C35" s="45">
        <v>14</v>
      </c>
      <c r="D35" s="45">
        <v>14</v>
      </c>
      <c r="E35" s="45">
        <v>14</v>
      </c>
      <c r="F35" s="45">
        <v>14</v>
      </c>
      <c r="G35" s="45">
        <v>14</v>
      </c>
      <c r="H35" s="45">
        <v>14</v>
      </c>
      <c r="I35" s="45">
        <v>14</v>
      </c>
      <c r="J35" s="45">
        <v>14</v>
      </c>
      <c r="K35" s="45">
        <v>14</v>
      </c>
      <c r="L35" s="45">
        <v>14</v>
      </c>
      <c r="M35" s="45">
        <v>14</v>
      </c>
      <c r="N35" s="45">
        <v>14</v>
      </c>
      <c r="O35" s="45">
        <v>14</v>
      </c>
      <c r="P35" s="45">
        <v>14</v>
      </c>
      <c r="Q35" s="45">
        <v>14</v>
      </c>
      <c r="R35" s="45">
        <v>14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15.33</v>
      </c>
      <c r="AB35" s="45">
        <v>15.33</v>
      </c>
      <c r="AC35" s="45">
        <v>15.33</v>
      </c>
      <c r="AD35" s="45">
        <v>15.33</v>
      </c>
      <c r="AE35" s="45">
        <v>15.33</v>
      </c>
      <c r="AF35" s="45">
        <v>15.33</v>
      </c>
      <c r="AG35" s="49">
        <v>14.9</v>
      </c>
      <c r="AH35" s="47">
        <f t="shared" si="2"/>
        <v>15.33</v>
      </c>
      <c r="AI35" s="48">
        <f t="shared" si="3"/>
        <v>14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3</v>
      </c>
      <c r="M39" s="45">
        <v>3</v>
      </c>
      <c r="N39" s="45">
        <v>3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6</v>
      </c>
      <c r="Z39" s="45">
        <v>6</v>
      </c>
      <c r="AA39" s="45">
        <v>12</v>
      </c>
      <c r="AB39" s="45">
        <v>12</v>
      </c>
      <c r="AC39" s="45">
        <f>0.8*12</f>
        <v>9.6000000000000014</v>
      </c>
      <c r="AD39" s="45">
        <v>6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9</v>
      </c>
      <c r="S43" s="45">
        <v>9</v>
      </c>
      <c r="T43" s="45">
        <v>9</v>
      </c>
      <c r="U43" s="45">
        <v>9</v>
      </c>
      <c r="V43" s="45">
        <v>9</v>
      </c>
      <c r="W43" s="45">
        <v>9</v>
      </c>
      <c r="X43" s="45">
        <v>9</v>
      </c>
      <c r="Y43" s="45">
        <v>9</v>
      </c>
      <c r="Z43" s="45">
        <v>9</v>
      </c>
      <c r="AA43" s="45">
        <v>9</v>
      </c>
      <c r="AB43" s="45">
        <v>9</v>
      </c>
      <c r="AC43" s="45">
        <v>9</v>
      </c>
      <c r="AD43" s="45">
        <v>9</v>
      </c>
      <c r="AE43" s="45">
        <v>9</v>
      </c>
      <c r="AF43" s="45">
        <v>9</v>
      </c>
      <c r="AG43" s="51">
        <v>11.88</v>
      </c>
      <c r="AH43" s="47">
        <f t="shared" si="2"/>
        <v>11</v>
      </c>
      <c r="AI43" s="48">
        <f t="shared" si="3"/>
        <v>9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110</v>
      </c>
      <c r="C49" s="56">
        <v>110</v>
      </c>
      <c r="D49" s="56">
        <v>110</v>
      </c>
      <c r="E49" s="56">
        <v>110</v>
      </c>
      <c r="F49" s="56">
        <v>110</v>
      </c>
      <c r="G49" s="56">
        <v>110</v>
      </c>
      <c r="H49" s="56">
        <v>110</v>
      </c>
      <c r="I49" s="56">
        <v>110</v>
      </c>
      <c r="J49" s="56">
        <v>110</v>
      </c>
      <c r="K49" s="56">
        <v>110</v>
      </c>
      <c r="L49" s="56">
        <v>110</v>
      </c>
      <c r="M49" s="56">
        <v>110</v>
      </c>
      <c r="N49" s="56">
        <v>110</v>
      </c>
      <c r="O49" s="56">
        <v>110</v>
      </c>
      <c r="P49" s="56">
        <v>110</v>
      </c>
      <c r="Q49" s="56">
        <v>119</v>
      </c>
      <c r="R49" s="56">
        <v>119</v>
      </c>
      <c r="S49" s="56">
        <v>119</v>
      </c>
      <c r="T49" s="58">
        <v>120.7</v>
      </c>
      <c r="U49" s="58">
        <v>113.5</v>
      </c>
      <c r="V49" s="58">
        <v>121.3</v>
      </c>
      <c r="W49" s="58">
        <f>34.9+86.6</f>
        <v>121.5</v>
      </c>
      <c r="X49" s="58">
        <v>119</v>
      </c>
      <c r="Y49" s="56">
        <v>111.2</v>
      </c>
      <c r="Z49" s="56">
        <v>111.2</v>
      </c>
      <c r="AA49" s="56">
        <v>83</v>
      </c>
      <c r="AB49" s="56">
        <f>83.9+33.4</f>
        <v>117.30000000000001</v>
      </c>
      <c r="AC49" s="56">
        <f>84.6+33.8</f>
        <v>118.39999999999999</v>
      </c>
      <c r="AD49" s="56">
        <f>85+34.1</f>
        <v>119.1</v>
      </c>
      <c r="AE49" s="56">
        <f>34.4+85.9</f>
        <v>120.30000000000001</v>
      </c>
      <c r="AF49" s="56">
        <f>32.1+84.2</f>
        <v>116.30000000000001</v>
      </c>
      <c r="AG49" s="54">
        <v>240</v>
      </c>
      <c r="AH49" s="47">
        <f t="shared" si="2"/>
        <v>121.5</v>
      </c>
      <c r="AI49" s="48">
        <f t="shared" si="3"/>
        <v>83</v>
      </c>
      <c r="AK49" s="50"/>
    </row>
    <row r="50" spans="1:41" ht="15.75" thickBot="1" x14ac:dyDescent="0.3">
      <c r="A50" s="59" t="s">
        <v>58</v>
      </c>
      <c r="B50" s="60">
        <v>1091.8000000000002</v>
      </c>
      <c r="C50" s="60">
        <f t="shared" ref="C50:AE50" si="4">SUM(C11:C48)</f>
        <v>1071.8000000000002</v>
      </c>
      <c r="D50" s="60">
        <f t="shared" si="4"/>
        <v>1071.8000000000002</v>
      </c>
      <c r="E50" s="60">
        <f t="shared" si="4"/>
        <v>1071.8000000000002</v>
      </c>
      <c r="F50" s="60">
        <f t="shared" si="4"/>
        <v>1071.8000000000002</v>
      </c>
      <c r="G50" s="60">
        <f t="shared" si="4"/>
        <v>1071.8000000000002</v>
      </c>
      <c r="H50" s="60">
        <f t="shared" si="4"/>
        <v>1071.8000000000002</v>
      </c>
      <c r="I50" s="60">
        <f t="shared" si="4"/>
        <v>1071.8000000000002</v>
      </c>
      <c r="J50" s="60">
        <f t="shared" si="4"/>
        <v>1071.8000000000002</v>
      </c>
      <c r="K50" s="60">
        <f>SUM(K11:K48)</f>
        <v>1081.8000000000002</v>
      </c>
      <c r="L50" s="60">
        <f>SUM(L11:L48)</f>
        <v>1109.8000000000002</v>
      </c>
      <c r="M50" s="60">
        <f t="shared" si="4"/>
        <v>1098.9000000000001</v>
      </c>
      <c r="N50" s="60">
        <f t="shared" si="4"/>
        <v>1106.9000000000001</v>
      </c>
      <c r="O50" s="60">
        <f t="shared" si="4"/>
        <v>1084.9000000000001</v>
      </c>
      <c r="P50" s="60">
        <f t="shared" si="4"/>
        <v>1021.5</v>
      </c>
      <c r="Q50" s="60">
        <f t="shared" si="4"/>
        <v>1072.5999999999999</v>
      </c>
      <c r="R50" s="60">
        <f t="shared" si="4"/>
        <v>1041.9000000000001</v>
      </c>
      <c r="S50" s="60">
        <f t="shared" si="4"/>
        <v>1042.9000000000001</v>
      </c>
      <c r="T50" s="60">
        <f t="shared" si="4"/>
        <v>1042.9000000000001</v>
      </c>
      <c r="U50" s="60">
        <f t="shared" si="4"/>
        <v>1039.9000000000001</v>
      </c>
      <c r="V50" s="60">
        <f t="shared" si="4"/>
        <v>1039.9000000000001</v>
      </c>
      <c r="W50" s="60">
        <f t="shared" si="4"/>
        <v>1039.9000000000001</v>
      </c>
      <c r="X50" s="60">
        <f t="shared" si="4"/>
        <v>1019.5</v>
      </c>
      <c r="Y50" s="60">
        <f t="shared" si="4"/>
        <v>1161.0999999999999</v>
      </c>
      <c r="Z50" s="60">
        <f t="shared" si="4"/>
        <v>1211.2599999999998</v>
      </c>
      <c r="AA50" s="60">
        <v>1199.5899999999999</v>
      </c>
      <c r="AB50" s="60">
        <f t="shared" si="4"/>
        <v>1224.5899999999999</v>
      </c>
      <c r="AC50" s="60">
        <f t="shared" si="4"/>
        <v>1206.49</v>
      </c>
      <c r="AD50" s="60">
        <f t="shared" si="4"/>
        <v>1185.69</v>
      </c>
      <c r="AE50" s="60">
        <f t="shared" si="4"/>
        <v>1093.79</v>
      </c>
      <c r="AF50" s="60">
        <f>SUM(AF11:AF48)</f>
        <v>1083.29</v>
      </c>
      <c r="AG50" s="61">
        <f>SUM(AG13:AG48)</f>
        <v>922.14</v>
      </c>
      <c r="AH50" s="47">
        <f t="shared" si="2"/>
        <v>1224.5899999999999</v>
      </c>
      <c r="AI50" s="48">
        <f t="shared" si="3"/>
        <v>1019.5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175">
        <v>456</v>
      </c>
      <c r="O51" s="175">
        <v>456</v>
      </c>
      <c r="P51" s="17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175">
        <v>456</v>
      </c>
      <c r="AC51" s="175">
        <v>456</v>
      </c>
      <c r="AD51" s="17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55</v>
      </c>
      <c r="L52" s="64">
        <v>55</v>
      </c>
      <c r="M52" s="64">
        <v>55</v>
      </c>
      <c r="N52" s="64">
        <v>55</v>
      </c>
      <c r="O52" s="64">
        <v>55</v>
      </c>
      <c r="P52" s="64">
        <v>55</v>
      </c>
      <c r="Q52" s="64">
        <v>55</v>
      </c>
      <c r="R52" s="64">
        <v>55</v>
      </c>
      <c r="S52" s="64">
        <v>55</v>
      </c>
      <c r="T52" s="64">
        <v>55</v>
      </c>
      <c r="U52" s="64">
        <v>55</v>
      </c>
      <c r="V52" s="64">
        <v>55</v>
      </c>
      <c r="W52" s="64">
        <v>55</v>
      </c>
      <c r="X52" s="64">
        <v>55</v>
      </c>
      <c r="Y52" s="64">
        <v>55</v>
      </c>
      <c r="Z52" s="64">
        <v>55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v>533.4</v>
      </c>
      <c r="C54" s="60">
        <f t="shared" ref="C54:AG54" si="5">SUM(C51:C53)</f>
        <v>533.4</v>
      </c>
      <c r="D54" s="60">
        <f t="shared" si="5"/>
        <v>533.4</v>
      </c>
      <c r="E54" s="60">
        <f t="shared" si="5"/>
        <v>533.4</v>
      </c>
      <c r="F54" s="60">
        <f t="shared" si="5"/>
        <v>533.4</v>
      </c>
      <c r="G54" s="60">
        <f t="shared" si="5"/>
        <v>533.4</v>
      </c>
      <c r="H54" s="60">
        <f t="shared" si="5"/>
        <v>533.4</v>
      </c>
      <c r="I54" s="60">
        <f t="shared" si="5"/>
        <v>533.4</v>
      </c>
      <c r="J54" s="60">
        <f t="shared" si="5"/>
        <v>533.4</v>
      </c>
      <c r="K54" s="60">
        <f>SUM(K51:K53)</f>
        <v>533.4</v>
      </c>
      <c r="L54" s="60">
        <f>SUM(L51:L53)</f>
        <v>533.4</v>
      </c>
      <c r="M54" s="60">
        <f t="shared" si="5"/>
        <v>533.4</v>
      </c>
      <c r="N54" s="60">
        <f t="shared" si="5"/>
        <v>533.4</v>
      </c>
      <c r="O54" s="60">
        <f t="shared" si="5"/>
        <v>533.4</v>
      </c>
      <c r="P54" s="60">
        <f t="shared" si="5"/>
        <v>533.4</v>
      </c>
      <c r="Q54" s="60">
        <f t="shared" si="5"/>
        <v>533.4</v>
      </c>
      <c r="R54" s="60">
        <f t="shared" si="5"/>
        <v>533.4</v>
      </c>
      <c r="S54" s="60">
        <f t="shared" si="5"/>
        <v>533.4</v>
      </c>
      <c r="T54" s="60">
        <f t="shared" si="5"/>
        <v>533.4</v>
      </c>
      <c r="U54" s="60">
        <f t="shared" si="5"/>
        <v>533.4</v>
      </c>
      <c r="V54" s="60">
        <f t="shared" si="5"/>
        <v>533.4</v>
      </c>
      <c r="W54" s="60">
        <f t="shared" si="5"/>
        <v>533.4</v>
      </c>
      <c r="X54" s="60">
        <f t="shared" si="5"/>
        <v>533.4</v>
      </c>
      <c r="Y54" s="60">
        <f t="shared" si="5"/>
        <v>533.4</v>
      </c>
      <c r="Z54" s="60">
        <f t="shared" si="5"/>
        <v>533.4</v>
      </c>
      <c r="AA54" s="60">
        <f t="shared" si="5"/>
        <v>538.4</v>
      </c>
      <c r="AB54" s="60">
        <f t="shared" si="5"/>
        <v>538.4</v>
      </c>
      <c r="AC54" s="60">
        <f t="shared" si="5"/>
        <v>538.4</v>
      </c>
      <c r="AD54" s="60">
        <f t="shared" si="5"/>
        <v>538.4</v>
      </c>
      <c r="AE54" s="60">
        <f t="shared" si="5"/>
        <v>538.4</v>
      </c>
      <c r="AF54" s="60">
        <f>SUM(AF51:AF53)</f>
        <v>538.4</v>
      </c>
      <c r="AG54" s="61">
        <f t="shared" si="5"/>
        <v>538.1</v>
      </c>
      <c r="AH54" s="47">
        <f t="shared" si="2"/>
        <v>538.4</v>
      </c>
      <c r="AI54" s="48">
        <f t="shared" si="3"/>
        <v>533.4</v>
      </c>
      <c r="AK54" s="50"/>
    </row>
    <row r="55" spans="1:41" x14ac:dyDescent="0.25">
      <c r="A55" s="44" t="s">
        <v>63</v>
      </c>
      <c r="B55" s="45">
        <v>120</v>
      </c>
      <c r="C55" s="45">
        <v>110</v>
      </c>
      <c r="D55" s="45">
        <v>110</v>
      </c>
      <c r="E55" s="45">
        <v>110</v>
      </c>
      <c r="F55" s="45">
        <v>110</v>
      </c>
      <c r="G55" s="45">
        <v>110</v>
      </c>
      <c r="H55" s="45">
        <v>110</v>
      </c>
      <c r="I55" s="45">
        <v>110</v>
      </c>
      <c r="J55" s="45">
        <v>110</v>
      </c>
      <c r="K55" s="45">
        <v>110</v>
      </c>
      <c r="L55" s="45">
        <v>120.2</v>
      </c>
      <c r="M55" s="45">
        <v>123.4</v>
      </c>
      <c r="N55" s="45">
        <v>123.4</v>
      </c>
      <c r="O55" s="45">
        <v>136.5</v>
      </c>
      <c r="P55" s="45">
        <v>136.5</v>
      </c>
      <c r="Q55" s="45">
        <v>129.4</v>
      </c>
      <c r="R55" s="45">
        <v>135.9</v>
      </c>
      <c r="S55" s="45">
        <v>137</v>
      </c>
      <c r="T55" s="45">
        <v>129</v>
      </c>
      <c r="U55" s="45">
        <v>137</v>
      </c>
      <c r="V55" s="45">
        <v>137</v>
      </c>
      <c r="W55" s="45">
        <v>137.19999999999999</v>
      </c>
      <c r="X55" s="45">
        <v>137.19999999999999</v>
      </c>
      <c r="Y55" s="45">
        <v>137.19999999999999</v>
      </c>
      <c r="Z55" s="45">
        <v>120</v>
      </c>
      <c r="AA55" s="45">
        <v>137.19999999999999</v>
      </c>
      <c r="AB55" s="45">
        <v>137.19999999999999</v>
      </c>
      <c r="AC55" s="45">
        <v>136.9</v>
      </c>
      <c r="AD55" s="45">
        <v>136.69999999999999</v>
      </c>
      <c r="AE55" s="45">
        <v>137</v>
      </c>
      <c r="AF55" s="45">
        <v>126.4</v>
      </c>
      <c r="AG55" s="51">
        <v>144</v>
      </c>
      <c r="AH55" s="47">
        <f t="shared" si="2"/>
        <v>137.19999999999999</v>
      </c>
      <c r="AI55" s="48">
        <f t="shared" si="3"/>
        <v>110</v>
      </c>
      <c r="AK55" s="50"/>
    </row>
    <row r="56" spans="1:41" x14ac:dyDescent="0.25">
      <c r="A56" s="53" t="s">
        <v>64</v>
      </c>
      <c r="B56" s="64">
        <v>52</v>
      </c>
      <c r="C56" s="64">
        <v>52</v>
      </c>
      <c r="D56" s="64">
        <v>52</v>
      </c>
      <c r="E56" s="64">
        <v>52</v>
      </c>
      <c r="F56" s="64">
        <v>52</v>
      </c>
      <c r="G56" s="64">
        <v>52</v>
      </c>
      <c r="H56" s="64">
        <v>52</v>
      </c>
      <c r="I56" s="64">
        <v>52</v>
      </c>
      <c r="J56" s="64">
        <v>52</v>
      </c>
      <c r="K56" s="64">
        <v>52</v>
      </c>
      <c r="L56" s="64">
        <v>69.3</v>
      </c>
      <c r="M56" s="64">
        <v>69.3</v>
      </c>
      <c r="N56" s="64">
        <v>69.3</v>
      </c>
      <c r="O56" s="64">
        <v>69.599999999999994</v>
      </c>
      <c r="P56" s="64">
        <v>69.599999999999994</v>
      </c>
      <c r="Q56" s="64">
        <v>62</v>
      </c>
      <c r="R56" s="64">
        <v>65.7</v>
      </c>
      <c r="S56" s="64">
        <v>67</v>
      </c>
      <c r="T56" s="64">
        <v>67</v>
      </c>
      <c r="U56" s="64">
        <v>65</v>
      </c>
      <c r="V56" s="64">
        <v>65</v>
      </c>
      <c r="W56" s="45">
        <v>65.3</v>
      </c>
      <c r="X56" s="45">
        <v>65.3</v>
      </c>
      <c r="Y56" s="45">
        <v>65.3</v>
      </c>
      <c r="Z56" s="45">
        <v>55</v>
      </c>
      <c r="AA56" s="45">
        <v>67.599999999999994</v>
      </c>
      <c r="AB56" s="45">
        <v>67.599999999999994</v>
      </c>
      <c r="AC56" s="45">
        <v>67.599999999999994</v>
      </c>
      <c r="AD56" s="64">
        <v>67.5</v>
      </c>
      <c r="AE56" s="45">
        <v>67.400000000000006</v>
      </c>
      <c r="AF56" s="45">
        <v>60.7</v>
      </c>
      <c r="AG56" s="54">
        <v>70</v>
      </c>
      <c r="AH56" s="47">
        <f t="shared" si="2"/>
        <v>69.599999999999994</v>
      </c>
      <c r="AI56" s="48">
        <f t="shared" si="3"/>
        <v>52</v>
      </c>
      <c r="AK56" s="50"/>
    </row>
    <row r="57" spans="1:41" x14ac:dyDescent="0.25">
      <c r="A57" s="53" t="s">
        <v>65</v>
      </c>
      <c r="B57" s="64">
        <v>62</v>
      </c>
      <c r="C57" s="64">
        <v>64.599999999999994</v>
      </c>
      <c r="D57" s="64">
        <v>64.599999999999994</v>
      </c>
      <c r="E57" s="64">
        <v>64.599999999999994</v>
      </c>
      <c r="F57" s="64">
        <v>64.599999999999994</v>
      </c>
      <c r="G57" s="64">
        <v>64.599999999999994</v>
      </c>
      <c r="H57" s="64">
        <v>64.599999999999994</v>
      </c>
      <c r="I57" s="64">
        <v>64.599999999999994</v>
      </c>
      <c r="J57" s="64">
        <v>64.599999999999994</v>
      </c>
      <c r="K57" s="64">
        <v>64.599999999999994</v>
      </c>
      <c r="L57" s="64">
        <v>64.3</v>
      </c>
      <c r="M57" s="64">
        <v>64.3</v>
      </c>
      <c r="N57" s="64">
        <v>64.3</v>
      </c>
      <c r="O57" s="64">
        <v>65.8</v>
      </c>
      <c r="P57" s="64">
        <v>65.8</v>
      </c>
      <c r="Q57" s="64">
        <v>62.3</v>
      </c>
      <c r="R57" s="64">
        <v>62.1</v>
      </c>
      <c r="S57" s="64">
        <v>62.1</v>
      </c>
      <c r="T57" s="64">
        <v>62.1</v>
      </c>
      <c r="U57" s="64">
        <v>66</v>
      </c>
      <c r="V57" s="64">
        <v>66</v>
      </c>
      <c r="W57" s="45">
        <v>66.2</v>
      </c>
      <c r="X57" s="45">
        <v>66.2</v>
      </c>
      <c r="Y57" s="45">
        <v>52.6</v>
      </c>
      <c r="Z57" s="45">
        <v>52.6</v>
      </c>
      <c r="AA57" s="45">
        <v>64.8</v>
      </c>
      <c r="AB57" s="45">
        <v>52.8</v>
      </c>
      <c r="AC57" s="45">
        <v>64.7</v>
      </c>
      <c r="AD57" s="64">
        <v>65.3</v>
      </c>
      <c r="AE57" s="45">
        <v>63.4</v>
      </c>
      <c r="AF57" s="45">
        <v>65.400000000000006</v>
      </c>
      <c r="AG57" s="54">
        <v>69</v>
      </c>
      <c r="AH57" s="47">
        <f t="shared" si="2"/>
        <v>66.2</v>
      </c>
      <c r="AI57" s="48">
        <f t="shared" si="3"/>
        <v>52.6</v>
      </c>
      <c r="AK57" s="50"/>
    </row>
    <row r="58" spans="1:41" x14ac:dyDescent="0.25">
      <c r="A58" s="53" t="s">
        <v>66</v>
      </c>
      <c r="B58" s="64">
        <v>53</v>
      </c>
      <c r="C58" s="64">
        <v>60.7</v>
      </c>
      <c r="D58" s="64">
        <v>60.7</v>
      </c>
      <c r="E58" s="64">
        <v>60.7</v>
      </c>
      <c r="F58" s="64">
        <v>60.7</v>
      </c>
      <c r="G58" s="64">
        <v>60.7</v>
      </c>
      <c r="H58" s="64">
        <v>60.7</v>
      </c>
      <c r="I58" s="64">
        <v>60.7</v>
      </c>
      <c r="J58" s="64">
        <v>60.7</v>
      </c>
      <c r="K58" s="64">
        <v>60.7</v>
      </c>
      <c r="L58" s="64">
        <v>62.5</v>
      </c>
      <c r="M58" s="64">
        <v>62.5</v>
      </c>
      <c r="N58" s="64">
        <v>62.5</v>
      </c>
      <c r="O58" s="64">
        <v>60.2</v>
      </c>
      <c r="P58" s="64">
        <v>60.2</v>
      </c>
      <c r="Q58" s="64">
        <v>60.4</v>
      </c>
      <c r="R58" s="64">
        <v>61.2</v>
      </c>
      <c r="S58" s="64">
        <v>61.2</v>
      </c>
      <c r="T58" s="64">
        <v>61.2</v>
      </c>
      <c r="U58" s="64">
        <v>60</v>
      </c>
      <c r="V58" s="64">
        <v>60</v>
      </c>
      <c r="W58" s="45">
        <v>60</v>
      </c>
      <c r="X58" s="45">
        <v>60</v>
      </c>
      <c r="Y58" s="45">
        <v>45.6</v>
      </c>
      <c r="Z58" s="45">
        <v>45.6</v>
      </c>
      <c r="AA58" s="45">
        <v>62</v>
      </c>
      <c r="AB58" s="45">
        <v>62</v>
      </c>
      <c r="AC58" s="45">
        <v>59.2</v>
      </c>
      <c r="AD58" s="64">
        <v>51.9</v>
      </c>
      <c r="AE58" s="45">
        <v>58.2</v>
      </c>
      <c r="AF58" s="45">
        <v>61.4</v>
      </c>
      <c r="AG58" s="54">
        <v>60</v>
      </c>
      <c r="AH58" s="47">
        <f t="shared" si="2"/>
        <v>62.5</v>
      </c>
      <c r="AI58" s="48">
        <f t="shared" si="3"/>
        <v>45.6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64">
        <v>28</v>
      </c>
      <c r="G59" s="64">
        <v>28</v>
      </c>
      <c r="H59" s="64">
        <v>28</v>
      </c>
      <c r="I59" s="64">
        <v>28</v>
      </c>
      <c r="J59" s="64">
        <v>28</v>
      </c>
      <c r="K59" s="64">
        <v>28</v>
      </c>
      <c r="L59" s="64">
        <v>14</v>
      </c>
      <c r="M59" s="64">
        <v>14</v>
      </c>
      <c r="N59" s="64">
        <v>14</v>
      </c>
      <c r="O59" s="64">
        <v>14</v>
      </c>
      <c r="P59" s="64">
        <v>14</v>
      </c>
      <c r="Q59" s="64">
        <v>14</v>
      </c>
      <c r="R59" s="64">
        <v>14</v>
      </c>
      <c r="S59" s="64">
        <v>14</v>
      </c>
      <c r="T59" s="64">
        <v>14</v>
      </c>
      <c r="U59" s="64">
        <v>14</v>
      </c>
      <c r="V59" s="64">
        <v>25</v>
      </c>
      <c r="W59" s="45">
        <v>25</v>
      </c>
      <c r="X59" s="45">
        <v>25</v>
      </c>
      <c r="Y59" s="45">
        <v>25</v>
      </c>
      <c r="Z59" s="45">
        <v>30</v>
      </c>
      <c r="AA59" s="45">
        <v>30</v>
      </c>
      <c r="AB59" s="45">
        <v>28</v>
      </c>
      <c r="AC59" s="45">
        <v>28</v>
      </c>
      <c r="AD59" s="45">
        <v>28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14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5.4</v>
      </c>
      <c r="N60" s="64">
        <v>8</v>
      </c>
      <c r="O60" s="64">
        <v>16.8</v>
      </c>
      <c r="P60" s="64">
        <v>16.8</v>
      </c>
      <c r="Q60" s="64">
        <v>9.1999999999999993</v>
      </c>
      <c r="R60" s="64">
        <v>17.2</v>
      </c>
      <c r="S60" s="64">
        <v>14.6</v>
      </c>
      <c r="T60" s="64">
        <v>14.6</v>
      </c>
      <c r="U60" s="64">
        <v>4.9000000000000004</v>
      </c>
      <c r="V60" s="64">
        <v>2.6</v>
      </c>
      <c r="W60" s="45">
        <v>0.7</v>
      </c>
      <c r="X60" s="45">
        <v>0.3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17.2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</v>
      </c>
      <c r="G61" s="64">
        <v>13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7</v>
      </c>
      <c r="Z61" s="64">
        <v>7</v>
      </c>
      <c r="AA61" s="64">
        <v>4</v>
      </c>
      <c r="AB61" s="64">
        <v>4</v>
      </c>
      <c r="AC61" s="64">
        <v>4</v>
      </c>
      <c r="AD61" s="64">
        <v>4</v>
      </c>
      <c r="AE61" s="64">
        <v>0</v>
      </c>
      <c r="AF61" s="64">
        <v>0</v>
      </c>
      <c r="AG61" s="54">
        <v>24</v>
      </c>
      <c r="AH61" s="47">
        <f t="shared" si="2"/>
        <v>13</v>
      </c>
      <c r="AI61" s="48">
        <f t="shared" si="3"/>
        <v>0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9.1999999999999993</v>
      </c>
      <c r="C63" s="64">
        <v>9.1999999999999993</v>
      </c>
      <c r="D63" s="64">
        <v>9.1999999999999993</v>
      </c>
      <c r="E63" s="64">
        <v>9.1999999999999993</v>
      </c>
      <c r="F63" s="64">
        <v>9.1999999999999993</v>
      </c>
      <c r="G63" s="64">
        <v>9.1999999999999993</v>
      </c>
      <c r="H63" s="64">
        <v>9.1999999999999993</v>
      </c>
      <c r="I63" s="64">
        <v>9.1999999999999993</v>
      </c>
      <c r="J63" s="64">
        <v>9.1999999999999993</v>
      </c>
      <c r="K63" s="64">
        <v>9.1999999999999993</v>
      </c>
      <c r="L63" s="64">
        <v>9.1999999999999993</v>
      </c>
      <c r="M63" s="64">
        <v>9.1999999999999993</v>
      </c>
      <c r="N63" s="64">
        <v>9.1999999999999993</v>
      </c>
      <c r="O63" s="64">
        <v>9.1999999999999993</v>
      </c>
      <c r="P63" s="64">
        <v>9.1999999999999993</v>
      </c>
      <c r="Q63" s="64">
        <v>9.1999999999999993</v>
      </c>
      <c r="R63" s="64">
        <v>9.1999999999999993</v>
      </c>
      <c r="S63" s="64">
        <v>9.1999999999999993</v>
      </c>
      <c r="T63" s="64">
        <v>9.1999999999999993</v>
      </c>
      <c r="U63" s="64">
        <v>9.1999999999999993</v>
      </c>
      <c r="V63" s="64">
        <v>9.1999999999999993</v>
      </c>
      <c r="W63" s="64">
        <v>9.1999999999999993</v>
      </c>
      <c r="X63" s="64">
        <v>9.1999999999999993</v>
      </c>
      <c r="Y63" s="64">
        <v>9</v>
      </c>
      <c r="Z63" s="64">
        <v>9</v>
      </c>
      <c r="AA63" s="64">
        <v>9</v>
      </c>
      <c r="AB63" s="64">
        <v>9</v>
      </c>
      <c r="AC63" s="64">
        <v>9</v>
      </c>
      <c r="AD63" s="64">
        <v>9</v>
      </c>
      <c r="AE63" s="64">
        <v>0</v>
      </c>
      <c r="AF63" s="64">
        <v>0</v>
      </c>
      <c r="AG63" s="54">
        <v>14.1</v>
      </c>
      <c r="AH63" s="47">
        <f t="shared" si="2"/>
        <v>9.1999999999999993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13.9</v>
      </c>
      <c r="C64" s="64">
        <v>13.9</v>
      </c>
      <c r="D64" s="64">
        <v>13.9</v>
      </c>
      <c r="E64" s="64">
        <v>13.9</v>
      </c>
      <c r="F64" s="64">
        <v>13.9</v>
      </c>
      <c r="G64" s="64">
        <v>13.9</v>
      </c>
      <c r="H64" s="64">
        <v>13.9</v>
      </c>
      <c r="I64" s="64">
        <v>13.9</v>
      </c>
      <c r="J64" s="64">
        <v>13.9</v>
      </c>
      <c r="K64" s="64">
        <v>13.9</v>
      </c>
      <c r="L64" s="64">
        <v>13.9</v>
      </c>
      <c r="M64" s="64">
        <v>13.9</v>
      </c>
      <c r="N64" s="64">
        <v>13.9</v>
      </c>
      <c r="O64" s="64">
        <v>13.9</v>
      </c>
      <c r="P64" s="64">
        <v>13.9</v>
      </c>
      <c r="Q64" s="64">
        <v>13.9</v>
      </c>
      <c r="R64" s="64">
        <v>13.9</v>
      </c>
      <c r="S64" s="64">
        <v>13.9</v>
      </c>
      <c r="T64" s="64">
        <v>13.9</v>
      </c>
      <c r="U64" s="64">
        <v>13.9</v>
      </c>
      <c r="V64" s="64">
        <v>13.9</v>
      </c>
      <c r="W64" s="64">
        <v>13.9</v>
      </c>
      <c r="X64" s="64">
        <v>13.9</v>
      </c>
      <c r="Y64" s="64">
        <v>13.9</v>
      </c>
      <c r="Z64" s="64">
        <v>13.9</v>
      </c>
      <c r="AA64" s="64">
        <v>13.9</v>
      </c>
      <c r="AB64" s="64">
        <v>13.9</v>
      </c>
      <c r="AC64" s="64">
        <v>13.9</v>
      </c>
      <c r="AD64" s="64">
        <v>13.9</v>
      </c>
      <c r="AE64" s="64">
        <v>7.2</v>
      </c>
      <c r="AF64" s="64">
        <v>7.2</v>
      </c>
      <c r="AG64" s="54">
        <v>14</v>
      </c>
      <c r="AH64" s="47">
        <f t="shared" si="2"/>
        <v>13.9</v>
      </c>
      <c r="AI64" s="48">
        <f t="shared" si="3"/>
        <v>7.2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364.03999999999996</v>
      </c>
      <c r="C68" s="60">
        <f t="shared" ref="C68:AG68" si="6">SUM(C55:C67)</f>
        <v>375.34</v>
      </c>
      <c r="D68" s="60">
        <f t="shared" si="6"/>
        <v>375.34</v>
      </c>
      <c r="E68" s="60">
        <f t="shared" si="6"/>
        <v>375.34</v>
      </c>
      <c r="F68" s="60">
        <f t="shared" si="6"/>
        <v>375.34</v>
      </c>
      <c r="G68" s="60">
        <f t="shared" si="6"/>
        <v>375.34</v>
      </c>
      <c r="H68" s="60">
        <f t="shared" si="6"/>
        <v>375.34</v>
      </c>
      <c r="I68" s="60">
        <f t="shared" si="6"/>
        <v>375.34</v>
      </c>
      <c r="J68" s="60">
        <f t="shared" si="6"/>
        <v>375.34</v>
      </c>
      <c r="K68" s="60">
        <f>SUM(K55:K67)</f>
        <v>375.34</v>
      </c>
      <c r="L68" s="60">
        <f>SUM(L55:L67)</f>
        <v>390.34</v>
      </c>
      <c r="M68" s="60">
        <f t="shared" si="6"/>
        <v>398.93999999999994</v>
      </c>
      <c r="N68" s="60">
        <f t="shared" si="6"/>
        <v>401.53999999999996</v>
      </c>
      <c r="O68" s="60">
        <f t="shared" si="6"/>
        <v>422.93999999999994</v>
      </c>
      <c r="P68" s="60">
        <f t="shared" si="6"/>
        <v>417.73999999999995</v>
      </c>
      <c r="Q68" s="60">
        <f t="shared" si="6"/>
        <v>392.13999999999993</v>
      </c>
      <c r="R68" s="60">
        <f t="shared" si="6"/>
        <v>410.94</v>
      </c>
      <c r="S68" s="60">
        <f t="shared" si="6"/>
        <v>410.74</v>
      </c>
      <c r="T68" s="60">
        <f t="shared" si="6"/>
        <v>402.74</v>
      </c>
      <c r="U68" s="60">
        <f t="shared" si="6"/>
        <v>401.73999999999995</v>
      </c>
      <c r="V68" s="60">
        <f t="shared" si="6"/>
        <v>410.44</v>
      </c>
      <c r="W68" s="60">
        <f t="shared" si="6"/>
        <v>409.23999999999995</v>
      </c>
      <c r="X68" s="60">
        <f t="shared" si="6"/>
        <v>408.84</v>
      </c>
      <c r="Y68" s="60">
        <f t="shared" si="6"/>
        <v>374.34</v>
      </c>
      <c r="Z68" s="60">
        <f t="shared" si="6"/>
        <v>351.84</v>
      </c>
      <c r="AA68" s="60">
        <f t="shared" si="6"/>
        <v>412.43999999999994</v>
      </c>
      <c r="AB68" s="60">
        <f t="shared" si="6"/>
        <v>398.43999999999994</v>
      </c>
      <c r="AC68" s="60">
        <f t="shared" si="6"/>
        <v>407.23999999999995</v>
      </c>
      <c r="AD68" s="60">
        <f t="shared" si="6"/>
        <v>400.23999999999995</v>
      </c>
      <c r="AE68" s="60">
        <f t="shared" si="6"/>
        <v>387.14</v>
      </c>
      <c r="AF68" s="60">
        <f>SUM(AF55:AF67)</f>
        <v>375.04</v>
      </c>
      <c r="AG68" s="61">
        <f t="shared" si="6"/>
        <v>489.91</v>
      </c>
      <c r="AH68" s="47">
        <f t="shared" si="2"/>
        <v>422.93999999999994</v>
      </c>
      <c r="AI68" s="48">
        <f t="shared" si="3"/>
        <v>351.84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E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>AD69+AD70+AD71</f>
        <v>0</v>
      </c>
      <c r="AE72" s="60">
        <f t="shared" si="7"/>
        <v>0</v>
      </c>
      <c r="AF72" s="60">
        <f>AF69+AF70+AF71</f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-32</v>
      </c>
      <c r="C73" s="45">
        <v>-29</v>
      </c>
      <c r="D73" s="45"/>
      <c r="E73" s="45">
        <v>-35</v>
      </c>
      <c r="F73" s="45">
        <v>-32.5</v>
      </c>
      <c r="G73" s="45">
        <v>-52.6</v>
      </c>
      <c r="H73" s="45">
        <v>-49.6</v>
      </c>
      <c r="I73" s="45">
        <v>-46.2</v>
      </c>
      <c r="J73" s="45">
        <v>-51.2</v>
      </c>
      <c r="K73" s="45">
        <v>-55.1</v>
      </c>
      <c r="L73" s="45">
        <v>-67.5</v>
      </c>
      <c r="M73" s="45">
        <v>-10.5</v>
      </c>
      <c r="N73" s="45">
        <v>-19.2</v>
      </c>
      <c r="O73" s="45">
        <v>-14.2</v>
      </c>
      <c r="P73" s="45">
        <v>0</v>
      </c>
      <c r="Q73" s="45">
        <v>-22.9</v>
      </c>
      <c r="R73" s="45">
        <v>-16.7</v>
      </c>
      <c r="S73" s="45">
        <v>-31.1</v>
      </c>
      <c r="T73" s="45">
        <v>-9.6</v>
      </c>
      <c r="U73" s="45">
        <v>-13.6</v>
      </c>
      <c r="V73" s="45">
        <v>-28.9</v>
      </c>
      <c r="W73" s="45">
        <v>-5.5</v>
      </c>
      <c r="X73" s="45">
        <v>-15.4</v>
      </c>
      <c r="Y73" s="45">
        <v>-10.1</v>
      </c>
      <c r="Z73" s="45">
        <v>-6.6</v>
      </c>
      <c r="AA73" s="45">
        <v>0.8</v>
      </c>
      <c r="AB73" s="45">
        <v>-26.1</v>
      </c>
      <c r="AC73" s="45">
        <v>0</v>
      </c>
      <c r="AD73" s="45">
        <v>0</v>
      </c>
      <c r="AE73" s="45">
        <v>-4.9000000000000004</v>
      </c>
      <c r="AF73" s="45">
        <v>-2.5</v>
      </c>
      <c r="AG73" s="51"/>
      <c r="AH73" s="47">
        <f t="shared" si="2"/>
        <v>0.8</v>
      </c>
      <c r="AI73" s="48">
        <f t="shared" si="3"/>
        <v>-67.5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-319</v>
      </c>
      <c r="C75" s="64">
        <v>-336</v>
      </c>
      <c r="D75" s="64"/>
      <c r="E75" s="64">
        <v>-326.39999999999998</v>
      </c>
      <c r="F75" s="64">
        <v>-330.7</v>
      </c>
      <c r="G75" s="64">
        <v>-324.3</v>
      </c>
      <c r="H75" s="64">
        <v>-430</v>
      </c>
      <c r="I75" s="64">
        <v>-442</v>
      </c>
      <c r="J75" s="64">
        <v>-462.3</v>
      </c>
      <c r="K75" s="64">
        <v>-452.9</v>
      </c>
      <c r="L75" s="64">
        <v>-496.5</v>
      </c>
      <c r="M75" s="64">
        <v>-446.4</v>
      </c>
      <c r="N75" s="64">
        <v>-468</v>
      </c>
      <c r="O75" s="64">
        <v>-465</v>
      </c>
      <c r="P75" s="64">
        <v>-476</v>
      </c>
      <c r="Q75" s="64">
        <v>-487.4</v>
      </c>
      <c r="R75" s="64">
        <v>-467</v>
      </c>
      <c r="S75" s="64">
        <v>-469</v>
      </c>
      <c r="T75" s="64">
        <v>-521</v>
      </c>
      <c r="U75" s="64">
        <v>-472</v>
      </c>
      <c r="V75" s="64">
        <v>-503</v>
      </c>
      <c r="W75" s="64">
        <v>-518</v>
      </c>
      <c r="X75" s="64">
        <v>-464</v>
      </c>
      <c r="Y75" s="64">
        <v>-397</v>
      </c>
      <c r="Z75" s="64">
        <v>-399</v>
      </c>
      <c r="AA75" s="64">
        <v>-383</v>
      </c>
      <c r="AB75" s="64">
        <v>-394.9</v>
      </c>
      <c r="AC75" s="64">
        <v>-380.1</v>
      </c>
      <c r="AD75" s="64">
        <v>-382.9</v>
      </c>
      <c r="AE75" s="64">
        <v>-391</v>
      </c>
      <c r="AF75" s="64">
        <v>-395</v>
      </c>
      <c r="AG75" s="74"/>
      <c r="AH75" s="47">
        <f t="shared" si="2"/>
        <v>-319</v>
      </c>
      <c r="AI75" s="48">
        <f t="shared" si="3"/>
        <v>-521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64">
        <v>0</v>
      </c>
      <c r="F76" s="64">
        <v>0</v>
      </c>
      <c r="G76" s="64">
        <v>0</v>
      </c>
      <c r="H76" s="64">
        <v>0</v>
      </c>
      <c r="I76" s="64">
        <v>0</v>
      </c>
      <c r="J76" s="64">
        <v>0</v>
      </c>
      <c r="K76" s="64">
        <v>0</v>
      </c>
      <c r="L76" s="64">
        <v>0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f t="shared" ref="C84:AE84" si="10">SUMIF(C73:C83,"&gt;0")</f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>SUMIF(K73:K83,"&gt;0")</f>
        <v>0</v>
      </c>
      <c r="L84" s="60">
        <f>SUMIF(L73:L83,"&gt;0")</f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0.8</v>
      </c>
      <c r="AB84" s="60">
        <f t="shared" si="10"/>
        <v>0</v>
      </c>
      <c r="AC84" s="60">
        <f t="shared" si="10"/>
        <v>0</v>
      </c>
      <c r="AD84" s="60">
        <f t="shared" si="10"/>
        <v>0</v>
      </c>
      <c r="AE84" s="60">
        <f t="shared" si="10"/>
        <v>0</v>
      </c>
      <c r="AF84" s="60">
        <f>SUMIF(AF73:AF83,"&gt;0")</f>
        <v>0</v>
      </c>
      <c r="AG84" s="87">
        <f>SUM(AG73:AG83)</f>
        <v>0</v>
      </c>
      <c r="AH84" s="47">
        <f t="shared" si="8"/>
        <v>0.8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1989.2400000000002</v>
      </c>
      <c r="C89" s="94">
        <f t="shared" ref="C89:AG89" si="11">C50+C54+C72+C68+C84+C88</f>
        <v>1980.5400000000002</v>
      </c>
      <c r="D89" s="94">
        <f t="shared" si="11"/>
        <v>1980.5400000000002</v>
      </c>
      <c r="E89" s="94">
        <f t="shared" si="11"/>
        <v>1980.5400000000002</v>
      </c>
      <c r="F89" s="94">
        <f t="shared" si="11"/>
        <v>1980.5400000000002</v>
      </c>
      <c r="G89" s="94">
        <f t="shared" si="11"/>
        <v>1980.5400000000002</v>
      </c>
      <c r="H89" s="94">
        <f t="shared" si="11"/>
        <v>1980.5400000000002</v>
      </c>
      <c r="I89" s="94">
        <f t="shared" si="11"/>
        <v>1980.5400000000002</v>
      </c>
      <c r="J89" s="94">
        <f t="shared" si="11"/>
        <v>1980.5400000000002</v>
      </c>
      <c r="K89" s="94">
        <f>K50+K54+K72+K68+K84+K88</f>
        <v>1990.5400000000002</v>
      </c>
      <c r="L89" s="94">
        <f>L50+L54+L72+L68+L84+L88</f>
        <v>2033.5400000000002</v>
      </c>
      <c r="M89" s="94">
        <f t="shared" si="11"/>
        <v>2031.2400000000002</v>
      </c>
      <c r="N89" s="94">
        <f t="shared" si="11"/>
        <v>2041.8400000000001</v>
      </c>
      <c r="O89" s="94">
        <f t="shared" si="11"/>
        <v>2041.2400000000002</v>
      </c>
      <c r="P89" s="94">
        <f t="shared" si="11"/>
        <v>1972.64</v>
      </c>
      <c r="Q89" s="94">
        <f t="shared" si="11"/>
        <v>1998.1399999999999</v>
      </c>
      <c r="R89" s="94">
        <f t="shared" si="11"/>
        <v>1986.2400000000002</v>
      </c>
      <c r="S89" s="94">
        <f t="shared" si="11"/>
        <v>1987.0400000000002</v>
      </c>
      <c r="T89" s="94">
        <f t="shared" si="11"/>
        <v>1979.0400000000002</v>
      </c>
      <c r="U89" s="94">
        <f t="shared" si="11"/>
        <v>1975.0400000000002</v>
      </c>
      <c r="V89" s="94">
        <f t="shared" si="11"/>
        <v>1983.7400000000002</v>
      </c>
      <c r="W89" s="94">
        <f t="shared" si="11"/>
        <v>1982.5400000000002</v>
      </c>
      <c r="X89" s="94">
        <f t="shared" si="11"/>
        <v>1961.74</v>
      </c>
      <c r="Y89" s="94">
        <f t="shared" si="11"/>
        <v>2068.84</v>
      </c>
      <c r="Z89" s="94">
        <f t="shared" si="11"/>
        <v>2096.5</v>
      </c>
      <c r="AA89" s="94">
        <f t="shared" si="11"/>
        <v>2151.23</v>
      </c>
      <c r="AB89" s="94">
        <f t="shared" si="11"/>
        <v>2161.4299999999998</v>
      </c>
      <c r="AC89" s="94">
        <f t="shared" si="11"/>
        <v>2152.1299999999997</v>
      </c>
      <c r="AD89" s="94">
        <f t="shared" si="11"/>
        <v>2124.33</v>
      </c>
      <c r="AE89" s="94">
        <f t="shared" si="11"/>
        <v>2019.33</v>
      </c>
      <c r="AF89" s="94">
        <f>AF50+AF54+AF72+AF68+AF84+AF88</f>
        <v>1996.73</v>
      </c>
      <c r="AG89" s="61">
        <f t="shared" si="11"/>
        <v>2111.5500000000002</v>
      </c>
      <c r="AH89" s="47">
        <f t="shared" si="8"/>
        <v>2161.4299999999998</v>
      </c>
      <c r="AI89" s="48">
        <f t="shared" si="9"/>
        <v>1961.74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1989.2400000000002</v>
      </c>
      <c r="C91" s="94">
        <f t="shared" ref="C91:AE91" si="12">C89+C90</f>
        <v>1980.5400000000002</v>
      </c>
      <c r="D91" s="94">
        <f t="shared" si="12"/>
        <v>1980.5400000000002</v>
      </c>
      <c r="E91" s="94">
        <f t="shared" si="12"/>
        <v>1980.5400000000002</v>
      </c>
      <c r="F91" s="94">
        <f t="shared" si="12"/>
        <v>1980.5400000000002</v>
      </c>
      <c r="G91" s="94">
        <f t="shared" si="12"/>
        <v>1980.5400000000002</v>
      </c>
      <c r="H91" s="94">
        <f t="shared" si="12"/>
        <v>1980.5400000000002</v>
      </c>
      <c r="I91" s="94">
        <f t="shared" si="12"/>
        <v>1980.5400000000002</v>
      </c>
      <c r="J91" s="94">
        <f t="shared" si="12"/>
        <v>1980.5400000000002</v>
      </c>
      <c r="K91" s="94">
        <f>K89+K90</f>
        <v>1990.5400000000002</v>
      </c>
      <c r="L91" s="94">
        <f>L89+L90</f>
        <v>2033.5400000000002</v>
      </c>
      <c r="M91" s="94">
        <f t="shared" si="12"/>
        <v>2031.2400000000002</v>
      </c>
      <c r="N91" s="94">
        <f t="shared" si="12"/>
        <v>2041.8400000000001</v>
      </c>
      <c r="O91" s="94">
        <f t="shared" si="12"/>
        <v>2041.2400000000002</v>
      </c>
      <c r="P91" s="94">
        <f t="shared" si="12"/>
        <v>1972.64</v>
      </c>
      <c r="Q91" s="94">
        <f t="shared" si="12"/>
        <v>1998.1399999999999</v>
      </c>
      <c r="R91" s="94">
        <f t="shared" si="12"/>
        <v>1986.2400000000002</v>
      </c>
      <c r="S91" s="94">
        <f t="shared" si="12"/>
        <v>1987.0400000000002</v>
      </c>
      <c r="T91" s="94">
        <f t="shared" si="12"/>
        <v>1979.0400000000002</v>
      </c>
      <c r="U91" s="94">
        <f t="shared" si="12"/>
        <v>1975.0400000000002</v>
      </c>
      <c r="V91" s="94">
        <f t="shared" si="12"/>
        <v>1983.7400000000002</v>
      </c>
      <c r="W91" s="94">
        <f t="shared" si="12"/>
        <v>1982.5400000000002</v>
      </c>
      <c r="X91" s="94">
        <f t="shared" si="12"/>
        <v>1961.74</v>
      </c>
      <c r="Y91" s="94">
        <f t="shared" si="12"/>
        <v>2068.84</v>
      </c>
      <c r="Z91" s="94">
        <f t="shared" si="12"/>
        <v>2096.5</v>
      </c>
      <c r="AA91" s="94">
        <f t="shared" si="12"/>
        <v>2151.23</v>
      </c>
      <c r="AB91" s="94">
        <f t="shared" si="12"/>
        <v>2161.4299999999998</v>
      </c>
      <c r="AC91" s="94">
        <f t="shared" si="12"/>
        <v>2152.1299999999997</v>
      </c>
      <c r="AD91" s="94">
        <f t="shared" si="12"/>
        <v>2124.33</v>
      </c>
      <c r="AE91" s="94">
        <f t="shared" si="12"/>
        <v>2019.33</v>
      </c>
      <c r="AF91" s="94">
        <f>AF89+AF90</f>
        <v>1996.73</v>
      </c>
      <c r="AG91" s="87">
        <f>AG88+AG84+AG72+AG68+AG50+AG90</f>
        <v>1573.45</v>
      </c>
      <c r="AH91" s="47">
        <f t="shared" si="8"/>
        <v>2161.4299999999998</v>
      </c>
      <c r="AI91" s="48">
        <f t="shared" si="9"/>
        <v>1961.74</v>
      </c>
    </row>
    <row r="92" spans="1:40" ht="15.75" thickBot="1" x14ac:dyDescent="0.3">
      <c r="A92" s="73" t="s">
        <v>103</v>
      </c>
      <c r="B92" s="94">
        <v>1679.2400000000002</v>
      </c>
      <c r="C92" s="94">
        <f t="shared" ref="C92:AE92" si="13">C91-(-C99)</f>
        <v>1644.5400000000002</v>
      </c>
      <c r="D92" s="94">
        <f t="shared" si="13"/>
        <v>1980.5400000000002</v>
      </c>
      <c r="E92" s="94">
        <f t="shared" si="13"/>
        <v>1654.1400000000003</v>
      </c>
      <c r="F92" s="94">
        <f t="shared" si="13"/>
        <v>1649.8400000000001</v>
      </c>
      <c r="G92" s="94">
        <f t="shared" si="13"/>
        <v>1656.2400000000002</v>
      </c>
      <c r="H92" s="94">
        <f t="shared" si="13"/>
        <v>1550.5400000000002</v>
      </c>
      <c r="I92" s="94">
        <f t="shared" si="13"/>
        <v>1538.5400000000002</v>
      </c>
      <c r="J92" s="94">
        <f t="shared" si="13"/>
        <v>1518.2400000000002</v>
      </c>
      <c r="K92" s="94">
        <f>K91-(-K99)</f>
        <v>1537.6400000000003</v>
      </c>
      <c r="L92" s="94">
        <f>L91-(-L99)</f>
        <v>1537.0400000000002</v>
      </c>
      <c r="M92" s="94">
        <f t="shared" si="13"/>
        <v>1584.8400000000001</v>
      </c>
      <c r="N92" s="94">
        <f t="shared" si="13"/>
        <v>1573.8400000000001</v>
      </c>
      <c r="O92" s="94">
        <f t="shared" si="13"/>
        <v>1576.2400000000002</v>
      </c>
      <c r="P92" s="94">
        <f t="shared" si="13"/>
        <v>1496.64</v>
      </c>
      <c r="Q92" s="94">
        <f t="shared" si="13"/>
        <v>1510.7399999999998</v>
      </c>
      <c r="R92" s="94">
        <f t="shared" si="13"/>
        <v>1519.2400000000002</v>
      </c>
      <c r="S92" s="94">
        <f t="shared" si="13"/>
        <v>1518.0400000000002</v>
      </c>
      <c r="T92" s="94">
        <f t="shared" si="13"/>
        <v>1458.0400000000002</v>
      </c>
      <c r="U92" s="94">
        <f t="shared" si="13"/>
        <v>1503.0400000000002</v>
      </c>
      <c r="V92" s="94">
        <f t="shared" si="13"/>
        <v>1480.7400000000002</v>
      </c>
      <c r="W92" s="94">
        <f t="shared" si="13"/>
        <v>1464.5400000000002</v>
      </c>
      <c r="X92" s="94">
        <f t="shared" si="13"/>
        <v>1497.74</v>
      </c>
      <c r="Y92" s="94">
        <f t="shared" si="13"/>
        <v>1671.8400000000001</v>
      </c>
      <c r="Z92" s="94">
        <f t="shared" si="13"/>
        <v>1697.5</v>
      </c>
      <c r="AA92" s="94">
        <f t="shared" si="13"/>
        <v>1768.23</v>
      </c>
      <c r="AB92" s="94">
        <f t="shared" si="13"/>
        <v>1766.5299999999997</v>
      </c>
      <c r="AC92" s="94">
        <f t="shared" si="13"/>
        <v>1772.0299999999997</v>
      </c>
      <c r="AD92" s="94">
        <f t="shared" si="13"/>
        <v>1741.4299999999998</v>
      </c>
      <c r="AE92" s="94">
        <f t="shared" si="13"/>
        <v>1628.33</v>
      </c>
      <c r="AF92" s="94">
        <f>AF91-(-AF99)</f>
        <v>1601.73</v>
      </c>
      <c r="AG92" s="87"/>
      <c r="AH92" s="47">
        <f t="shared" si="8"/>
        <v>1980.5400000000002</v>
      </c>
      <c r="AI92" s="48">
        <f t="shared" si="9"/>
        <v>1458.0400000000002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v>-310</v>
      </c>
      <c r="C99" s="60">
        <f t="shared" ref="C99:AE99" si="14">C75</f>
        <v>-336</v>
      </c>
      <c r="D99" s="60">
        <f t="shared" si="14"/>
        <v>0</v>
      </c>
      <c r="E99" s="60">
        <f t="shared" si="14"/>
        <v>-326.39999999999998</v>
      </c>
      <c r="F99" s="60">
        <f t="shared" si="14"/>
        <v>-330.7</v>
      </c>
      <c r="G99" s="60">
        <f t="shared" si="14"/>
        <v>-324.3</v>
      </c>
      <c r="H99" s="60">
        <f t="shared" si="14"/>
        <v>-430</v>
      </c>
      <c r="I99" s="60">
        <f t="shared" si="14"/>
        <v>-442</v>
      </c>
      <c r="J99" s="60">
        <f t="shared" si="14"/>
        <v>-462.3</v>
      </c>
      <c r="K99" s="60">
        <f>K75</f>
        <v>-452.9</v>
      </c>
      <c r="L99" s="60">
        <f>L75</f>
        <v>-496.5</v>
      </c>
      <c r="M99" s="60">
        <f t="shared" si="14"/>
        <v>-446.4</v>
      </c>
      <c r="N99" s="60">
        <f t="shared" si="14"/>
        <v>-468</v>
      </c>
      <c r="O99" s="60">
        <f t="shared" si="14"/>
        <v>-465</v>
      </c>
      <c r="P99" s="60">
        <f t="shared" si="14"/>
        <v>-476</v>
      </c>
      <c r="Q99" s="60">
        <f t="shared" si="14"/>
        <v>-487.4</v>
      </c>
      <c r="R99" s="60">
        <f t="shared" si="14"/>
        <v>-467</v>
      </c>
      <c r="S99" s="60">
        <f t="shared" si="14"/>
        <v>-469</v>
      </c>
      <c r="T99" s="60">
        <f t="shared" si="14"/>
        <v>-521</v>
      </c>
      <c r="U99" s="60">
        <f t="shared" si="14"/>
        <v>-472</v>
      </c>
      <c r="V99" s="60">
        <f t="shared" si="14"/>
        <v>-503</v>
      </c>
      <c r="W99" s="60">
        <f t="shared" si="14"/>
        <v>-518</v>
      </c>
      <c r="X99" s="60">
        <f t="shared" si="14"/>
        <v>-464</v>
      </c>
      <c r="Y99" s="60">
        <f t="shared" si="14"/>
        <v>-397</v>
      </c>
      <c r="Z99" s="60">
        <f t="shared" si="14"/>
        <v>-399</v>
      </c>
      <c r="AA99" s="60">
        <f t="shared" si="14"/>
        <v>-383</v>
      </c>
      <c r="AB99" s="60">
        <f t="shared" si="14"/>
        <v>-394.9</v>
      </c>
      <c r="AC99" s="60">
        <f t="shared" si="14"/>
        <v>-380.1</v>
      </c>
      <c r="AD99" s="60">
        <f t="shared" si="14"/>
        <v>-382.9</v>
      </c>
      <c r="AE99" s="60">
        <f t="shared" si="14"/>
        <v>-391</v>
      </c>
      <c r="AF99" s="60">
        <f>AF75</f>
        <v>-395</v>
      </c>
      <c r="AG99" s="87"/>
      <c r="AH99" s="47">
        <f t="shared" si="8"/>
        <v>0</v>
      </c>
      <c r="AI99" s="48">
        <f t="shared" si="9"/>
        <v>-521</v>
      </c>
      <c r="AK99" s="50"/>
    </row>
    <row r="100" spans="1:37" ht="15.75" thickBot="1" x14ac:dyDescent="0.3">
      <c r="A100" s="73" t="s">
        <v>108</v>
      </c>
      <c r="B100" s="60">
        <v>310</v>
      </c>
      <c r="C100" s="60">
        <f t="shared" ref="C100:AE100" si="15">C84-C99</f>
        <v>336</v>
      </c>
      <c r="D100" s="60">
        <f t="shared" si="15"/>
        <v>0</v>
      </c>
      <c r="E100" s="60">
        <f t="shared" si="15"/>
        <v>326.39999999999998</v>
      </c>
      <c r="F100" s="60">
        <f t="shared" si="15"/>
        <v>330.7</v>
      </c>
      <c r="G100" s="60">
        <f t="shared" si="15"/>
        <v>324.3</v>
      </c>
      <c r="H100" s="60">
        <f t="shared" si="15"/>
        <v>430</v>
      </c>
      <c r="I100" s="60">
        <f t="shared" si="15"/>
        <v>442</v>
      </c>
      <c r="J100" s="60">
        <f t="shared" si="15"/>
        <v>462.3</v>
      </c>
      <c r="K100" s="60">
        <f>K84-K99</f>
        <v>452.9</v>
      </c>
      <c r="L100" s="60">
        <f>L84-L99</f>
        <v>496.5</v>
      </c>
      <c r="M100" s="60">
        <f t="shared" si="15"/>
        <v>446.4</v>
      </c>
      <c r="N100" s="60">
        <f t="shared" si="15"/>
        <v>468</v>
      </c>
      <c r="O100" s="60">
        <f t="shared" si="15"/>
        <v>465</v>
      </c>
      <c r="P100" s="60">
        <f t="shared" si="15"/>
        <v>476</v>
      </c>
      <c r="Q100" s="60">
        <f t="shared" si="15"/>
        <v>487.4</v>
      </c>
      <c r="R100" s="60">
        <f t="shared" si="15"/>
        <v>467</v>
      </c>
      <c r="S100" s="60">
        <f t="shared" si="15"/>
        <v>469</v>
      </c>
      <c r="T100" s="60">
        <f t="shared" si="15"/>
        <v>521</v>
      </c>
      <c r="U100" s="60">
        <f t="shared" si="15"/>
        <v>472</v>
      </c>
      <c r="V100" s="60">
        <f t="shared" si="15"/>
        <v>503</v>
      </c>
      <c r="W100" s="60">
        <f t="shared" si="15"/>
        <v>518</v>
      </c>
      <c r="X100" s="60">
        <f t="shared" si="15"/>
        <v>464</v>
      </c>
      <c r="Y100" s="60">
        <f t="shared" si="15"/>
        <v>397</v>
      </c>
      <c r="Z100" s="60">
        <f t="shared" si="15"/>
        <v>399</v>
      </c>
      <c r="AA100" s="60">
        <f t="shared" si="15"/>
        <v>383.8</v>
      </c>
      <c r="AB100" s="60">
        <f t="shared" si="15"/>
        <v>394.9</v>
      </c>
      <c r="AC100" s="60">
        <f t="shared" si="15"/>
        <v>380.1</v>
      </c>
      <c r="AD100" s="60">
        <f t="shared" si="15"/>
        <v>382.9</v>
      </c>
      <c r="AE100" s="60">
        <f t="shared" si="15"/>
        <v>391</v>
      </c>
      <c r="AF100" s="60">
        <f>AF84-AF99</f>
        <v>395</v>
      </c>
      <c r="AG100" s="87"/>
      <c r="AH100" s="47">
        <f t="shared" si="8"/>
        <v>521</v>
      </c>
      <c r="AI100" s="48">
        <f t="shared" si="9"/>
        <v>0</v>
      </c>
    </row>
    <row r="101" spans="1:37" x14ac:dyDescent="0.25">
      <c r="A101" s="99" t="s">
        <v>109</v>
      </c>
      <c r="B101" s="100">
        <v>50.02</v>
      </c>
      <c r="C101" s="100">
        <v>49.99</v>
      </c>
      <c r="D101" s="100">
        <v>49.88</v>
      </c>
      <c r="E101" s="100">
        <v>49.95</v>
      </c>
      <c r="F101" s="100">
        <v>50.05</v>
      </c>
      <c r="G101" s="100">
        <v>49.95</v>
      </c>
      <c r="H101" s="100">
        <v>49.91</v>
      </c>
      <c r="I101" s="100">
        <v>49.91</v>
      </c>
      <c r="J101" s="100">
        <v>49.97</v>
      </c>
      <c r="K101" s="100">
        <v>50.033999999999999</v>
      </c>
      <c r="L101" s="100">
        <v>50.05</v>
      </c>
      <c r="M101" s="100">
        <v>50.110999999999997</v>
      </c>
      <c r="N101" s="100">
        <v>50</v>
      </c>
      <c r="O101" s="100">
        <v>50.027000000000001</v>
      </c>
      <c r="P101" s="100">
        <v>50.029000000000003</v>
      </c>
      <c r="Q101" s="100">
        <v>49.972999999999999</v>
      </c>
      <c r="R101" s="100">
        <v>49.975999999999999</v>
      </c>
      <c r="S101" s="100">
        <v>49.975999999999999</v>
      </c>
      <c r="T101" s="100">
        <v>49.975000000000001</v>
      </c>
      <c r="U101" s="100">
        <v>49.948</v>
      </c>
      <c r="V101" s="100">
        <v>49.838999999999999</v>
      </c>
      <c r="W101" s="100">
        <v>49.957999999999998</v>
      </c>
      <c r="X101" s="100">
        <v>49.99</v>
      </c>
      <c r="Y101" s="100">
        <v>49.99</v>
      </c>
      <c r="Z101" s="100">
        <v>49.765999999999998</v>
      </c>
      <c r="AA101" s="100">
        <v>49.832000000000001</v>
      </c>
      <c r="AB101" s="100">
        <v>50.029000000000003</v>
      </c>
      <c r="AC101" s="100">
        <v>50.048999999999999</v>
      </c>
      <c r="AD101" s="100">
        <v>50.033999999999999</v>
      </c>
      <c r="AE101" s="100">
        <v>50.04</v>
      </c>
      <c r="AF101" s="100">
        <v>50.07</v>
      </c>
      <c r="AG101" s="101"/>
      <c r="AH101" s="47">
        <f t="shared" si="8"/>
        <v>50.110999999999997</v>
      </c>
      <c r="AI101" s="48">
        <f t="shared" si="9"/>
        <v>49.765999999999998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128.80000000000001</v>
      </c>
      <c r="C103" s="64">
        <v>128.6</v>
      </c>
      <c r="D103" s="64">
        <v>128.6</v>
      </c>
      <c r="E103" s="64">
        <v>128.6</v>
      </c>
      <c r="F103" s="64">
        <v>128.6</v>
      </c>
      <c r="G103" s="64">
        <v>128.6</v>
      </c>
      <c r="H103" s="64">
        <v>128.6</v>
      </c>
      <c r="I103" s="64">
        <v>128.6</v>
      </c>
      <c r="J103" s="64">
        <v>128.6</v>
      </c>
      <c r="K103" s="64">
        <v>126.8</v>
      </c>
      <c r="L103" s="64">
        <v>128.6</v>
      </c>
      <c r="M103" s="64">
        <v>126.1</v>
      </c>
      <c r="N103" s="64">
        <v>126.1</v>
      </c>
      <c r="O103" s="64">
        <v>127.2</v>
      </c>
      <c r="P103" s="64">
        <v>127.1</v>
      </c>
      <c r="Q103" s="64">
        <v>128</v>
      </c>
      <c r="R103" s="64">
        <v>128</v>
      </c>
      <c r="S103" s="64">
        <v>128</v>
      </c>
      <c r="T103" s="64">
        <v>127.4</v>
      </c>
      <c r="U103" s="64">
        <v>126.8</v>
      </c>
      <c r="V103" s="64">
        <v>127.7</v>
      </c>
      <c r="W103" s="64">
        <v>127.8</v>
      </c>
      <c r="X103" s="64">
        <v>128.1</v>
      </c>
      <c r="Y103" s="64">
        <v>128.1</v>
      </c>
      <c r="Z103" s="64">
        <v>124.9</v>
      </c>
      <c r="AA103" s="64">
        <v>125.9</v>
      </c>
      <c r="AB103" s="64">
        <v>125.7</v>
      </c>
      <c r="AC103" s="64">
        <v>126.4</v>
      </c>
      <c r="AD103" s="64">
        <v>125.8</v>
      </c>
      <c r="AE103" s="64">
        <v>129.4</v>
      </c>
      <c r="AF103" s="64">
        <v>130</v>
      </c>
      <c r="AG103" s="103"/>
      <c r="AH103" s="47">
        <f t="shared" si="8"/>
        <v>130</v>
      </c>
      <c r="AI103" s="48">
        <f t="shared" si="9"/>
        <v>124.9</v>
      </c>
    </row>
    <row r="104" spans="1:37" x14ac:dyDescent="0.25">
      <c r="A104" s="102" t="s">
        <v>112</v>
      </c>
      <c r="B104" s="64">
        <v>129</v>
      </c>
      <c r="C104" s="64">
        <v>129</v>
      </c>
      <c r="D104" s="64">
        <v>129</v>
      </c>
      <c r="E104" s="64">
        <v>129</v>
      </c>
      <c r="F104" s="64">
        <v>129</v>
      </c>
      <c r="G104" s="64">
        <v>129</v>
      </c>
      <c r="H104" s="64">
        <v>129</v>
      </c>
      <c r="I104" s="64">
        <v>129</v>
      </c>
      <c r="J104" s="64">
        <v>129</v>
      </c>
      <c r="K104" s="64">
        <v>127.5</v>
      </c>
      <c r="L104" s="64">
        <v>129</v>
      </c>
      <c r="M104" s="64">
        <v>128.9</v>
      </c>
      <c r="N104" s="64">
        <v>128.9</v>
      </c>
      <c r="O104" s="64">
        <v>128.19999999999999</v>
      </c>
      <c r="P104" s="64">
        <v>128.80000000000001</v>
      </c>
      <c r="Q104" s="64">
        <v>128.80000000000001</v>
      </c>
      <c r="R104" s="64">
        <v>128.80000000000001</v>
      </c>
      <c r="S104" s="64">
        <v>128.80000000000001</v>
      </c>
      <c r="T104" s="64">
        <v>131.4</v>
      </c>
      <c r="U104" s="64">
        <v>127.3</v>
      </c>
      <c r="V104" s="64">
        <v>129.6</v>
      </c>
      <c r="W104" s="64">
        <v>129.4</v>
      </c>
      <c r="X104" s="64">
        <v>131</v>
      </c>
      <c r="Y104" s="64">
        <v>131</v>
      </c>
      <c r="Z104" s="64">
        <v>127.2</v>
      </c>
      <c r="AA104" s="64">
        <v>127.5</v>
      </c>
      <c r="AB104" s="64">
        <v>128.5</v>
      </c>
      <c r="AC104" s="64">
        <v>129.19999999999999</v>
      </c>
      <c r="AD104" s="64">
        <v>127.9</v>
      </c>
      <c r="AE104" s="64">
        <v>128.30000000000001</v>
      </c>
      <c r="AF104" s="64">
        <v>129</v>
      </c>
      <c r="AG104" s="103"/>
      <c r="AH104" s="47">
        <f t="shared" si="8"/>
        <v>131.4</v>
      </c>
      <c r="AI104" s="48">
        <f t="shared" si="9"/>
        <v>127.2</v>
      </c>
    </row>
    <row r="105" spans="1:37" x14ac:dyDescent="0.25">
      <c r="A105" s="104" t="s">
        <v>113</v>
      </c>
      <c r="B105" s="64">
        <v>132</v>
      </c>
      <c r="C105" s="64">
        <v>131</v>
      </c>
      <c r="D105" s="64">
        <v>131</v>
      </c>
      <c r="E105" s="64">
        <v>131</v>
      </c>
      <c r="F105" s="64">
        <v>131</v>
      </c>
      <c r="G105" s="64">
        <v>131</v>
      </c>
      <c r="H105" s="64">
        <v>131</v>
      </c>
      <c r="I105" s="64">
        <v>131</v>
      </c>
      <c r="J105" s="64">
        <v>131</v>
      </c>
      <c r="K105" s="64">
        <v>129.9</v>
      </c>
      <c r="L105" s="64">
        <v>131</v>
      </c>
      <c r="M105" s="64">
        <v>130.5</v>
      </c>
      <c r="N105" s="64">
        <v>130.5</v>
      </c>
      <c r="O105" s="64">
        <v>131.19999999999999</v>
      </c>
      <c r="P105" s="64">
        <v>130</v>
      </c>
      <c r="Q105" s="64">
        <v>130</v>
      </c>
      <c r="R105" s="64">
        <v>130</v>
      </c>
      <c r="S105" s="64">
        <v>130</v>
      </c>
      <c r="T105" s="64">
        <v>133.1</v>
      </c>
      <c r="U105" s="64">
        <v>129</v>
      </c>
      <c r="V105" s="64">
        <v>131.6</v>
      </c>
      <c r="W105" s="64">
        <v>131.1</v>
      </c>
      <c r="X105" s="64">
        <v>132.6</v>
      </c>
      <c r="Y105" s="64">
        <v>132.6</v>
      </c>
      <c r="Z105" s="64">
        <v>128.19999999999999</v>
      </c>
      <c r="AA105" s="64">
        <v>128.1</v>
      </c>
      <c r="AB105" s="64">
        <v>130.4</v>
      </c>
      <c r="AC105" s="64">
        <v>130.19999999999999</v>
      </c>
      <c r="AD105" s="64">
        <v>129.9</v>
      </c>
      <c r="AE105" s="64">
        <v>130.69999999999999</v>
      </c>
      <c r="AF105" s="64">
        <v>132.30000000000001</v>
      </c>
      <c r="AG105" s="103"/>
      <c r="AH105" s="47">
        <f t="shared" si="8"/>
        <v>133.1</v>
      </c>
      <c r="AI105" s="48">
        <f t="shared" si="9"/>
        <v>128.1</v>
      </c>
    </row>
    <row r="106" spans="1:37" x14ac:dyDescent="0.25">
      <c r="A106" s="104" t="s">
        <v>114</v>
      </c>
      <c r="B106" s="105">
        <v>132</v>
      </c>
      <c r="C106" s="105">
        <v>132</v>
      </c>
      <c r="D106" s="105">
        <v>132</v>
      </c>
      <c r="E106" s="105">
        <v>132</v>
      </c>
      <c r="F106" s="105">
        <v>132</v>
      </c>
      <c r="G106" s="105">
        <v>132</v>
      </c>
      <c r="H106" s="105">
        <v>132</v>
      </c>
      <c r="I106" s="105">
        <v>132</v>
      </c>
      <c r="J106" s="105">
        <v>132</v>
      </c>
      <c r="K106" s="105">
        <v>131.9</v>
      </c>
      <c r="L106" s="105">
        <v>132</v>
      </c>
      <c r="M106" s="105">
        <v>130.30000000000001</v>
      </c>
      <c r="N106" s="105">
        <v>130.30000000000001</v>
      </c>
      <c r="O106" s="105">
        <v>134.69999999999999</v>
      </c>
      <c r="P106" s="105">
        <v>131.4</v>
      </c>
      <c r="Q106" s="105">
        <v>133.6</v>
      </c>
      <c r="R106" s="105">
        <v>133.6</v>
      </c>
      <c r="S106" s="105">
        <v>133.6</v>
      </c>
      <c r="T106" s="105">
        <v>133.9</v>
      </c>
      <c r="U106" s="105">
        <v>131.9</v>
      </c>
      <c r="V106" s="105">
        <v>131.4</v>
      </c>
      <c r="W106" s="105">
        <v>132</v>
      </c>
      <c r="X106" s="105">
        <v>132.69999999999999</v>
      </c>
      <c r="Y106" s="105">
        <v>132.69999999999999</v>
      </c>
      <c r="Z106" s="105">
        <v>132.4</v>
      </c>
      <c r="AA106" s="105">
        <v>132.30000000000001</v>
      </c>
      <c r="AB106" s="105">
        <v>130.1</v>
      </c>
      <c r="AC106" s="105">
        <v>133</v>
      </c>
      <c r="AD106" s="105">
        <v>131.9</v>
      </c>
      <c r="AE106" s="105">
        <v>135.19999999999999</v>
      </c>
      <c r="AF106" s="105">
        <v>134.69999999999999</v>
      </c>
      <c r="AG106" s="106"/>
      <c r="AH106" s="47">
        <f t="shared" si="8"/>
        <v>135.19999999999999</v>
      </c>
      <c r="AI106" s="48">
        <f t="shared" si="9"/>
        <v>130.1</v>
      </c>
    </row>
    <row r="107" spans="1:37" x14ac:dyDescent="0.25">
      <c r="A107" s="102" t="s">
        <v>115</v>
      </c>
      <c r="B107" s="64">
        <v>132</v>
      </c>
      <c r="C107" s="64">
        <v>132</v>
      </c>
      <c r="D107" s="64">
        <v>132</v>
      </c>
      <c r="E107" s="64">
        <v>132</v>
      </c>
      <c r="F107" s="64">
        <v>132</v>
      </c>
      <c r="G107" s="64">
        <v>132</v>
      </c>
      <c r="H107" s="64">
        <v>132</v>
      </c>
      <c r="I107" s="64">
        <v>132</v>
      </c>
      <c r="J107" s="64">
        <v>132</v>
      </c>
      <c r="K107" s="64">
        <v>133.1</v>
      </c>
      <c r="L107" s="64">
        <v>132</v>
      </c>
      <c r="M107" s="64">
        <v>129.19999999999999</v>
      </c>
      <c r="N107" s="64">
        <v>129.19999999999999</v>
      </c>
      <c r="O107" s="64">
        <v>122.8</v>
      </c>
      <c r="P107" s="64">
        <v>130.69999999999999</v>
      </c>
      <c r="Q107" s="64">
        <v>133.6</v>
      </c>
      <c r="R107" s="64">
        <v>133.6</v>
      </c>
      <c r="S107" s="64">
        <v>133.6</v>
      </c>
      <c r="T107" s="64">
        <v>127.7</v>
      </c>
      <c r="U107" s="64">
        <v>130.4</v>
      </c>
      <c r="V107" s="64">
        <v>132.80000000000001</v>
      </c>
      <c r="W107" s="64">
        <v>131.4</v>
      </c>
      <c r="X107" s="64">
        <v>132.30000000000001</v>
      </c>
      <c r="Y107" s="64">
        <v>132.30000000000001</v>
      </c>
      <c r="Z107" s="64">
        <v>127.7</v>
      </c>
      <c r="AA107" s="64">
        <v>131.80000000000001</v>
      </c>
      <c r="AB107" s="64">
        <v>127.8</v>
      </c>
      <c r="AC107" s="64">
        <v>129.1</v>
      </c>
      <c r="AD107" s="64">
        <v>128.69999999999999</v>
      </c>
      <c r="AE107" s="64">
        <v>130.9</v>
      </c>
      <c r="AF107" s="64">
        <v>130</v>
      </c>
      <c r="AG107" s="103"/>
      <c r="AH107" s="47">
        <f t="shared" si="8"/>
        <v>133.6</v>
      </c>
      <c r="AI107" s="48">
        <f t="shared" si="9"/>
        <v>122.8</v>
      </c>
    </row>
    <row r="108" spans="1:37" ht="15.75" thickBot="1" x14ac:dyDescent="0.3">
      <c r="A108" s="102" t="s">
        <v>116</v>
      </c>
      <c r="B108" s="91">
        <v>64.599999999999994</v>
      </c>
      <c r="C108" s="91">
        <v>65</v>
      </c>
      <c r="D108" s="91">
        <v>65</v>
      </c>
      <c r="E108" s="91">
        <v>65</v>
      </c>
      <c r="F108" s="91">
        <v>65</v>
      </c>
      <c r="G108" s="91">
        <v>65</v>
      </c>
      <c r="H108" s="91">
        <v>65</v>
      </c>
      <c r="I108" s="91">
        <v>65</v>
      </c>
      <c r="J108" s="91">
        <v>65</v>
      </c>
      <c r="K108" s="91">
        <v>63.9</v>
      </c>
      <c r="L108" s="91">
        <v>65</v>
      </c>
      <c r="M108" s="91">
        <v>63.8</v>
      </c>
      <c r="N108" s="91">
        <v>63.8</v>
      </c>
      <c r="O108" s="91">
        <v>64.099999999999994</v>
      </c>
      <c r="P108" s="91">
        <v>64.2</v>
      </c>
      <c r="Q108" s="91">
        <v>64.8</v>
      </c>
      <c r="R108" s="91">
        <v>64.8</v>
      </c>
      <c r="S108" s="91">
        <v>64.8</v>
      </c>
      <c r="T108" s="91">
        <v>64.2</v>
      </c>
      <c r="U108" s="91">
        <v>63.9</v>
      </c>
      <c r="V108" s="91">
        <v>64.400000000000006</v>
      </c>
      <c r="W108" s="91">
        <v>64.3</v>
      </c>
      <c r="X108" s="91">
        <v>64.7</v>
      </c>
      <c r="Y108" s="91">
        <v>64.7</v>
      </c>
      <c r="Z108" s="91">
        <v>63</v>
      </c>
      <c r="AA108" s="91">
        <v>63.8</v>
      </c>
      <c r="AB108" s="91">
        <v>63.7</v>
      </c>
      <c r="AC108" s="91">
        <v>64</v>
      </c>
      <c r="AD108" s="91">
        <v>63.7</v>
      </c>
      <c r="AE108" s="91">
        <v>65.400000000000006</v>
      </c>
      <c r="AF108" s="91">
        <v>65.8</v>
      </c>
      <c r="AG108" s="107"/>
      <c r="AH108" s="47">
        <f t="shared" si="8"/>
        <v>65.8</v>
      </c>
      <c r="AI108" s="48">
        <f t="shared" si="9"/>
        <v>63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58.199999999999989</v>
      </c>
      <c r="C110" s="110">
        <f t="shared" ref="C110:O110" si="16">SUM(C20,C26,C29:C30,C58,C60:C61,C63,C65,C111:C115,C138,C144,C150,C159,C161,C173,C180,C183:C184,C191,C193,C195,C199:C201,C203:C205,C210,C216:C217,C219:C221,C229,C234)</f>
        <v>31.840000000000007</v>
      </c>
      <c r="D110" s="110">
        <f t="shared" si="16"/>
        <v>36.840000000000003</v>
      </c>
      <c r="E110" s="110">
        <f t="shared" si="16"/>
        <v>41.84</v>
      </c>
      <c r="F110" s="110">
        <f t="shared" si="16"/>
        <v>44.84</v>
      </c>
      <c r="G110" s="110">
        <f t="shared" si="16"/>
        <v>48.84</v>
      </c>
      <c r="H110" s="110">
        <f t="shared" si="16"/>
        <v>51.84</v>
      </c>
      <c r="I110" s="110">
        <f t="shared" si="16"/>
        <v>53.84</v>
      </c>
      <c r="J110" s="110">
        <f t="shared" si="16"/>
        <v>247.24</v>
      </c>
      <c r="K110" s="110">
        <f>SUM(K20,K26,K29:K30,K58,K60:K61,K63,K65,K111:K115,K138,K144,K150,K159,K161,K173,K180,K183:K184,K191,K193,K195,K199:K201,K203:K205,K210,K216:K217,K219:K221,K229,K234)</f>
        <v>119.03999999999996</v>
      </c>
      <c r="L110" s="110">
        <f>SUM(L20,L26,L29:L30,L58,L60:L61,L63,L65,L111:L115,L138,L144,L150,L159,L161,L173,L180,L183:L184,L191,L193,L195,L199:L201,L203:L205,L210,L216:L217,L219:L221,L229,L234)</f>
        <v>143.53999999999996</v>
      </c>
      <c r="M110" s="110">
        <f t="shared" si="16"/>
        <v>168.44</v>
      </c>
      <c r="N110" s="110">
        <f t="shared" si="16"/>
        <v>164.33999999999997</v>
      </c>
      <c r="O110" s="110">
        <f t="shared" si="16"/>
        <v>176.54</v>
      </c>
      <c r="P110" s="110">
        <v>42</v>
      </c>
      <c r="Q110" s="110">
        <f t="shared" ref="Q110:AE110" si="17">SUM(Q20,Q26,Q29:Q30,Q58,Q60:Q61,Q63,Q65,Q111:Q115,Q138,Q144,Q150,Q159,Q161,Q173,Q180,Q183:Q184,Q191,Q193,Q195,Q199:Q201,Q203:Q205,Q210,Q216:Q217,Q219:Q221,Q229,Q234)</f>
        <v>144.29999999999998</v>
      </c>
      <c r="R110" s="110">
        <f t="shared" si="17"/>
        <v>135.59999999999997</v>
      </c>
      <c r="S110" s="110">
        <f t="shared" si="17"/>
        <v>133</v>
      </c>
      <c r="T110" s="110">
        <f t="shared" si="17"/>
        <v>136.60000000000002</v>
      </c>
      <c r="U110" s="110">
        <f t="shared" si="17"/>
        <v>141.1</v>
      </c>
      <c r="V110" s="110">
        <f t="shared" si="17"/>
        <v>145.69999999999996</v>
      </c>
      <c r="W110" s="110">
        <f t="shared" si="17"/>
        <v>142.1</v>
      </c>
      <c r="X110" s="110">
        <f t="shared" si="17"/>
        <v>156.30000000000001</v>
      </c>
      <c r="Y110" s="110">
        <f t="shared" si="17"/>
        <v>160.39999999999998</v>
      </c>
      <c r="Z110" s="110">
        <f t="shared" si="17"/>
        <v>254.5</v>
      </c>
      <c r="AA110" s="110">
        <f t="shared" si="17"/>
        <v>267</v>
      </c>
      <c r="AB110" s="110">
        <f t="shared" si="17"/>
        <v>248.79999999999998</v>
      </c>
      <c r="AC110" s="110">
        <f t="shared" si="17"/>
        <v>227.8</v>
      </c>
      <c r="AD110" s="110"/>
      <c r="AE110" s="110">
        <f t="shared" si="17"/>
        <v>113.99999999999997</v>
      </c>
      <c r="AF110" s="110">
        <f>SUM(AF20,AF26,AF29:AF30,AF58,AF60:AF61,AF63,AF65,AF111:AF115,AF138,AF144,AF150,AF159,AF161,AF173,AF180,AF183:AF184,AF191,AF193,AF195,AF199:AF201,AF203:AF205,AF210,AF216:AF217,AF219:AF221,AF229,AF234)</f>
        <v>77.900000000000034</v>
      </c>
      <c r="AG110" s="111"/>
      <c r="AH110" s="47">
        <f t="shared" si="8"/>
        <v>267</v>
      </c>
      <c r="AI110" s="48">
        <f t="shared" si="9"/>
        <v>31.840000000000007</v>
      </c>
    </row>
    <row r="111" spans="1:37" x14ac:dyDescent="0.25">
      <c r="A111" s="99" t="s">
        <v>119</v>
      </c>
      <c r="B111" s="112">
        <v>14</v>
      </c>
      <c r="C111" s="112">
        <v>12</v>
      </c>
      <c r="D111" s="112">
        <v>15</v>
      </c>
      <c r="E111" s="112">
        <v>18</v>
      </c>
      <c r="F111" s="112">
        <v>20</v>
      </c>
      <c r="G111" s="112">
        <v>22</v>
      </c>
      <c r="H111" s="112">
        <v>22</v>
      </c>
      <c r="I111" s="112">
        <v>22</v>
      </c>
      <c r="J111" s="112">
        <v>26</v>
      </c>
      <c r="K111" s="112">
        <v>28.1</v>
      </c>
      <c r="L111" s="112">
        <v>34.6</v>
      </c>
      <c r="M111" s="112">
        <v>38.700000000000003</v>
      </c>
      <c r="N111" s="112">
        <v>36.299999999999997</v>
      </c>
      <c r="O111" s="112">
        <v>31</v>
      </c>
      <c r="P111" s="112">
        <v>28.7</v>
      </c>
      <c r="Q111" s="112">
        <v>33.4</v>
      </c>
      <c r="R111" s="112">
        <v>28</v>
      </c>
      <c r="S111" s="112">
        <v>28</v>
      </c>
      <c r="T111" s="112">
        <v>30.9</v>
      </c>
      <c r="U111" s="112">
        <v>34.6</v>
      </c>
      <c r="V111" s="112">
        <v>36.299999999999997</v>
      </c>
      <c r="W111" s="112">
        <v>36.4</v>
      </c>
      <c r="X111" s="112">
        <v>34.6</v>
      </c>
      <c r="Y111" s="112">
        <v>34.6</v>
      </c>
      <c r="Z111" s="112">
        <v>47.6</v>
      </c>
      <c r="AA111" s="112">
        <v>53.6</v>
      </c>
      <c r="AB111" s="112">
        <v>47</v>
      </c>
      <c r="AC111" s="112">
        <v>47.3</v>
      </c>
      <c r="AD111" s="112">
        <v>43.7</v>
      </c>
      <c r="AE111" s="112">
        <v>28.7</v>
      </c>
      <c r="AF111" s="112">
        <v>24.4</v>
      </c>
      <c r="AG111" s="113">
        <v>75</v>
      </c>
      <c r="AH111" s="47">
        <f t="shared" si="8"/>
        <v>53.6</v>
      </c>
      <c r="AI111" s="48">
        <f t="shared" si="9"/>
        <v>12</v>
      </c>
    </row>
    <row r="112" spans="1:37" x14ac:dyDescent="0.25">
      <c r="A112" s="102" t="s">
        <v>120</v>
      </c>
      <c r="B112" s="114">
        <v>17</v>
      </c>
      <c r="C112" s="114">
        <v>15</v>
      </c>
      <c r="D112" s="114">
        <v>17</v>
      </c>
      <c r="E112" s="114">
        <v>19</v>
      </c>
      <c r="F112" s="114">
        <v>20</v>
      </c>
      <c r="G112" s="114">
        <v>22</v>
      </c>
      <c r="H112" s="114">
        <v>25</v>
      </c>
      <c r="I112" s="114">
        <v>27</v>
      </c>
      <c r="J112" s="114">
        <v>27</v>
      </c>
      <c r="K112" s="114">
        <v>35.6</v>
      </c>
      <c r="L112" s="114">
        <v>45.5</v>
      </c>
      <c r="M112" s="114">
        <v>51.2</v>
      </c>
      <c r="N112" s="114">
        <v>44.5</v>
      </c>
      <c r="O112" s="114">
        <v>35.6</v>
      </c>
      <c r="P112" s="114">
        <v>32.9</v>
      </c>
      <c r="Q112" s="114">
        <v>43.2</v>
      </c>
      <c r="R112" s="114">
        <v>35.799999999999997</v>
      </c>
      <c r="S112" s="114">
        <v>35.799999999999997</v>
      </c>
      <c r="T112" s="114">
        <v>39.700000000000003</v>
      </c>
      <c r="U112" s="114">
        <v>45.1</v>
      </c>
      <c r="V112" s="114">
        <v>46.9</v>
      </c>
      <c r="W112" s="114">
        <v>46.7</v>
      </c>
      <c r="X112" s="114">
        <v>44.2</v>
      </c>
      <c r="Y112" s="114">
        <v>44.2</v>
      </c>
      <c r="Z112" s="114">
        <v>69.3</v>
      </c>
      <c r="AA112" s="114">
        <v>78</v>
      </c>
      <c r="AB112" s="114">
        <v>70.400000000000006</v>
      </c>
      <c r="AC112" s="114">
        <v>68.8</v>
      </c>
      <c r="AD112" s="114">
        <v>62.5</v>
      </c>
      <c r="AE112" s="114">
        <v>38.6</v>
      </c>
      <c r="AF112" s="114">
        <v>30.4</v>
      </c>
      <c r="AG112" s="113">
        <v>240</v>
      </c>
      <c r="AH112" s="47">
        <f t="shared" si="8"/>
        <v>78</v>
      </c>
      <c r="AI112" s="48">
        <f t="shared" si="9"/>
        <v>15</v>
      </c>
    </row>
    <row r="113" spans="1:37" x14ac:dyDescent="0.25">
      <c r="A113" s="102" t="s">
        <v>121</v>
      </c>
      <c r="B113" s="114">
        <v>-130</v>
      </c>
      <c r="C113" s="114">
        <v>-140</v>
      </c>
      <c r="D113" s="114">
        <v>-140</v>
      </c>
      <c r="E113" s="114">
        <v>-140</v>
      </c>
      <c r="F113" s="114">
        <v>-140</v>
      </c>
      <c r="G113" s="114">
        <v>-140</v>
      </c>
      <c r="H113" s="114">
        <v>-140</v>
      </c>
      <c r="I113" s="114">
        <v>-140</v>
      </c>
      <c r="J113" s="114">
        <v>35</v>
      </c>
      <c r="K113" s="114">
        <v>-102.8</v>
      </c>
      <c r="L113" s="114">
        <v>-106.7</v>
      </c>
      <c r="M113" s="114">
        <v>-89</v>
      </c>
      <c r="N113" s="114">
        <v>-89</v>
      </c>
      <c r="O113" s="114">
        <v>-79</v>
      </c>
      <c r="P113" s="114">
        <v>-95</v>
      </c>
      <c r="Q113" s="114">
        <v>-109</v>
      </c>
      <c r="R113" s="114">
        <v>-103</v>
      </c>
      <c r="S113" s="114">
        <v>-103</v>
      </c>
      <c r="T113" s="114">
        <v>-105</v>
      </c>
      <c r="U113" s="114">
        <v>-100</v>
      </c>
      <c r="V113" s="114">
        <v>-98</v>
      </c>
      <c r="W113" s="114">
        <f>-47.9-51.4</f>
        <v>-99.3</v>
      </c>
      <c r="X113" s="114">
        <v>-84</v>
      </c>
      <c r="Y113" s="114">
        <v>-84</v>
      </c>
      <c r="Z113" s="114">
        <v>-98</v>
      </c>
      <c r="AA113" s="114">
        <v>-98</v>
      </c>
      <c r="AB113" s="114">
        <f>-58-60.4</f>
        <v>-118.4</v>
      </c>
      <c r="AC113" s="114">
        <f>-61-65</f>
        <v>-126</v>
      </c>
      <c r="AD113" s="114">
        <f>-66-69</f>
        <v>-135</v>
      </c>
      <c r="AE113" s="114">
        <f>-63.1-66.7</f>
        <v>-129.80000000000001</v>
      </c>
      <c r="AF113" s="114">
        <f>-69.5-73.7</f>
        <v>-143.19999999999999</v>
      </c>
      <c r="AG113" s="113">
        <v>240</v>
      </c>
      <c r="AH113" s="47">
        <f t="shared" si="8"/>
        <v>35</v>
      </c>
      <c r="AI113" s="48">
        <f t="shared" si="9"/>
        <v>-143.19999999999999</v>
      </c>
    </row>
    <row r="114" spans="1:37" x14ac:dyDescent="0.25">
      <c r="A114" s="102" t="s">
        <v>122</v>
      </c>
      <c r="B114" s="114">
        <v>-2</v>
      </c>
      <c r="C114" s="114">
        <v>-2</v>
      </c>
      <c r="D114" s="114">
        <v>-2</v>
      </c>
      <c r="E114" s="114">
        <v>-2</v>
      </c>
      <c r="F114" s="114">
        <v>-2</v>
      </c>
      <c r="G114" s="114">
        <v>-2</v>
      </c>
      <c r="H114" s="114">
        <v>-2</v>
      </c>
      <c r="I114" s="114">
        <v>-2</v>
      </c>
      <c r="J114" s="114">
        <v>6.4</v>
      </c>
      <c r="K114" s="114">
        <v>6.3</v>
      </c>
      <c r="L114" s="114">
        <v>6.5</v>
      </c>
      <c r="M114" s="114">
        <v>8.3000000000000007</v>
      </c>
      <c r="N114" s="114">
        <v>10.7</v>
      </c>
      <c r="O114" s="114">
        <v>10.8</v>
      </c>
      <c r="P114" s="114">
        <v>9.4</v>
      </c>
      <c r="Q114" s="114">
        <v>6.9</v>
      </c>
      <c r="R114" s="114">
        <v>5.2</v>
      </c>
      <c r="S114" s="114">
        <v>5.2</v>
      </c>
      <c r="T114" s="114">
        <v>4</v>
      </c>
      <c r="U114" s="114">
        <v>5.3</v>
      </c>
      <c r="V114" s="114">
        <v>6.7</v>
      </c>
      <c r="W114" s="114">
        <v>6.4</v>
      </c>
      <c r="X114" s="114">
        <v>10</v>
      </c>
      <c r="Y114" s="114">
        <v>10</v>
      </c>
      <c r="Z114" s="114">
        <v>9</v>
      </c>
      <c r="AA114" s="114">
        <v>9.1</v>
      </c>
      <c r="AB114" s="114">
        <v>8.8000000000000007</v>
      </c>
      <c r="AC114" s="114">
        <v>4.5999999999999996</v>
      </c>
      <c r="AD114" s="114">
        <v>2.8</v>
      </c>
      <c r="AE114" s="114">
        <v>0.9</v>
      </c>
      <c r="AF114" s="114">
        <v>-0.3</v>
      </c>
      <c r="AG114" s="113">
        <v>60</v>
      </c>
      <c r="AH114" s="47">
        <f t="shared" si="8"/>
        <v>10.8</v>
      </c>
      <c r="AI114" s="48">
        <f t="shared" si="9"/>
        <v>-2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6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57</v>
      </c>
      <c r="AA115" s="116">
        <v>66.3</v>
      </c>
      <c r="AB115" s="116">
        <v>58</v>
      </c>
      <c r="AC115" s="116">
        <v>58.2</v>
      </c>
      <c r="AD115" s="116">
        <v>58.3</v>
      </c>
      <c r="AE115" s="116">
        <v>39.4</v>
      </c>
      <c r="AF115" s="116">
        <v>27.2</v>
      </c>
      <c r="AG115" s="117">
        <v>120</v>
      </c>
      <c r="AH115" s="47">
        <f t="shared" si="8"/>
        <v>66.3</v>
      </c>
      <c r="AI115" s="48">
        <f t="shared" si="9"/>
        <v>0</v>
      </c>
    </row>
    <row r="116" spans="1:37" x14ac:dyDescent="0.25">
      <c r="A116" s="115" t="s">
        <v>124</v>
      </c>
      <c r="B116" s="116">
        <v>60</v>
      </c>
      <c r="C116" s="116">
        <v>50</v>
      </c>
      <c r="D116" s="116">
        <v>57</v>
      </c>
      <c r="E116" s="116">
        <v>34</v>
      </c>
      <c r="F116" s="116">
        <v>56</v>
      </c>
      <c r="G116" s="116">
        <v>65</v>
      </c>
      <c r="H116" s="116">
        <v>52</v>
      </c>
      <c r="I116" s="116">
        <v>48</v>
      </c>
      <c r="J116" s="116">
        <v>41.5</v>
      </c>
      <c r="K116" s="116">
        <v>41.6</v>
      </c>
      <c r="L116" s="116">
        <v>9.9</v>
      </c>
      <c r="M116" s="116">
        <v>39.5</v>
      </c>
      <c r="N116" s="116">
        <v>43.5</v>
      </c>
      <c r="O116" s="116">
        <v>52.3</v>
      </c>
      <c r="P116" s="116">
        <v>38.799999999999997</v>
      </c>
      <c r="Q116" s="116">
        <v>23.8</v>
      </c>
      <c r="R116" s="116">
        <v>34</v>
      </c>
      <c r="S116" s="116">
        <v>34</v>
      </c>
      <c r="T116" s="116">
        <v>25</v>
      </c>
      <c r="U116" s="116">
        <v>22.4</v>
      </c>
      <c r="V116" s="116">
        <v>9</v>
      </c>
      <c r="W116" s="116">
        <v>3.8</v>
      </c>
      <c r="X116" s="116">
        <v>20</v>
      </c>
      <c r="Y116" s="116">
        <v>20</v>
      </c>
      <c r="Z116" s="116">
        <v>20</v>
      </c>
      <c r="AA116" s="116">
        <v>14</v>
      </c>
      <c r="AB116" s="116">
        <v>15</v>
      </c>
      <c r="AC116" s="116">
        <v>16.7</v>
      </c>
      <c r="AD116" s="116">
        <v>9.9</v>
      </c>
      <c r="AE116" s="116">
        <v>19</v>
      </c>
      <c r="AF116" s="116">
        <v>23.9</v>
      </c>
      <c r="AG116" s="117"/>
      <c r="AH116" s="47">
        <f t="shared" si="8"/>
        <v>65</v>
      </c>
      <c r="AI116" s="48">
        <f t="shared" si="9"/>
        <v>3.8</v>
      </c>
    </row>
    <row r="117" spans="1:37" x14ac:dyDescent="0.25">
      <c r="A117" s="115" t="s">
        <v>125</v>
      </c>
      <c r="B117" s="116">
        <v>0</v>
      </c>
      <c r="C117" s="116">
        <v>5</v>
      </c>
      <c r="D117" s="116">
        <v>5</v>
      </c>
      <c r="E117" s="116">
        <v>5</v>
      </c>
      <c r="F117" s="116">
        <v>5</v>
      </c>
      <c r="G117" s="116">
        <v>5</v>
      </c>
      <c r="H117" s="116">
        <v>5</v>
      </c>
      <c r="I117" s="116">
        <v>5</v>
      </c>
      <c r="J117" s="116">
        <v>-6</v>
      </c>
      <c r="K117" s="116">
        <v>-7.3</v>
      </c>
      <c r="L117" s="116">
        <v>18.600000000000001</v>
      </c>
      <c r="M117" s="116">
        <v>-22.7</v>
      </c>
      <c r="N117" s="116">
        <v>-42.2</v>
      </c>
      <c r="O117" s="116">
        <v>-35.700000000000003</v>
      </c>
      <c r="P117" s="116">
        <v>-30.1</v>
      </c>
      <c r="Q117" s="116">
        <v>-25</v>
      </c>
      <c r="R117" s="116">
        <v>-20.6</v>
      </c>
      <c r="S117" s="116">
        <v>-20.6</v>
      </c>
      <c r="T117" s="116">
        <v>-30</v>
      </c>
      <c r="U117" s="116">
        <v>-32</v>
      </c>
      <c r="V117" s="116">
        <v>-36</v>
      </c>
      <c r="W117" s="116">
        <v>-35.1</v>
      </c>
      <c r="X117" s="116">
        <v>-32</v>
      </c>
      <c r="Y117" s="116">
        <v>-32</v>
      </c>
      <c r="Z117" s="116">
        <v>-20</v>
      </c>
      <c r="AA117" s="116">
        <v>-21</v>
      </c>
      <c r="AB117" s="116">
        <v>-13.4</v>
      </c>
      <c r="AC117" s="116">
        <v>-19.600000000000001</v>
      </c>
      <c r="AD117" s="116">
        <v>-28.4</v>
      </c>
      <c r="AE117" s="116">
        <v>-24.1</v>
      </c>
      <c r="AF117" s="116">
        <v>-16.100000000000001</v>
      </c>
      <c r="AG117" s="118"/>
      <c r="AH117" s="47">
        <f t="shared" si="8"/>
        <v>18.600000000000001</v>
      </c>
      <c r="AI117" s="48">
        <f t="shared" si="9"/>
        <v>-42.2</v>
      </c>
    </row>
    <row r="118" spans="1:37" x14ac:dyDescent="0.25">
      <c r="A118" s="119" t="s">
        <v>126</v>
      </c>
      <c r="B118" s="105">
        <v>32</v>
      </c>
      <c r="C118" s="105">
        <v>36</v>
      </c>
      <c r="D118" s="105">
        <v>36</v>
      </c>
      <c r="E118" s="105">
        <v>36</v>
      </c>
      <c r="F118" s="105">
        <v>36</v>
      </c>
      <c r="G118" s="105">
        <v>36</v>
      </c>
      <c r="H118" s="105">
        <v>36</v>
      </c>
      <c r="I118" s="105">
        <v>36</v>
      </c>
      <c r="J118" s="105">
        <v>33</v>
      </c>
      <c r="K118" s="105">
        <v>40.9</v>
      </c>
      <c r="L118" s="105">
        <v>28.4</v>
      </c>
      <c r="M118" s="105">
        <v>37.299999999999997</v>
      </c>
      <c r="N118" s="105">
        <v>47.4</v>
      </c>
      <c r="O118" s="105">
        <v>-48.2</v>
      </c>
      <c r="P118" s="105">
        <v>29.4</v>
      </c>
      <c r="Q118" s="105">
        <v>38.6</v>
      </c>
      <c r="R118" s="105">
        <v>41.6</v>
      </c>
      <c r="S118" s="105">
        <v>41.6</v>
      </c>
      <c r="T118" s="105">
        <v>47.2</v>
      </c>
      <c r="U118" s="105">
        <v>39</v>
      </c>
      <c r="V118" s="105">
        <v>47</v>
      </c>
      <c r="W118" s="105">
        <v>45.4</v>
      </c>
      <c r="X118" s="105">
        <v>39</v>
      </c>
      <c r="Y118" s="105">
        <v>39</v>
      </c>
      <c r="Z118" s="105">
        <v>16</v>
      </c>
      <c r="AA118" s="105">
        <v>0</v>
      </c>
      <c r="AB118" s="105">
        <v>27.7</v>
      </c>
      <c r="AC118" s="105">
        <v>27.8</v>
      </c>
      <c r="AD118" s="105">
        <v>29.1</v>
      </c>
      <c r="AE118" s="105">
        <v>34.9</v>
      </c>
      <c r="AF118" s="105">
        <v>33.6</v>
      </c>
      <c r="AG118" s="118"/>
      <c r="AH118" s="47">
        <f t="shared" si="8"/>
        <v>47.4</v>
      </c>
      <c r="AI118" s="48">
        <f t="shared" si="9"/>
        <v>-48.2</v>
      </c>
    </row>
    <row r="119" spans="1:37" x14ac:dyDescent="0.25">
      <c r="A119" s="120" t="s">
        <v>127</v>
      </c>
      <c r="B119" s="105">
        <v>90</v>
      </c>
      <c r="C119" s="105">
        <v>85</v>
      </c>
      <c r="D119" s="105">
        <v>80</v>
      </c>
      <c r="E119" s="105">
        <v>85</v>
      </c>
      <c r="F119" s="105">
        <v>85</v>
      </c>
      <c r="G119" s="105">
        <v>80</v>
      </c>
      <c r="H119" s="105">
        <v>82</v>
      </c>
      <c r="I119" s="105">
        <v>85</v>
      </c>
      <c r="J119" s="105">
        <v>85</v>
      </c>
      <c r="K119" s="105">
        <v>88</v>
      </c>
      <c r="L119" s="105">
        <v>86.9</v>
      </c>
      <c r="M119" s="105">
        <v>83.7</v>
      </c>
      <c r="N119" s="105">
        <v>80</v>
      </c>
      <c r="O119" s="105">
        <v>68.2</v>
      </c>
      <c r="P119" s="105">
        <v>72.599999999999994</v>
      </c>
      <c r="Q119" s="105">
        <v>89.7</v>
      </c>
      <c r="R119" s="105">
        <v>78.099999999999994</v>
      </c>
      <c r="S119" s="105">
        <v>78.099999999999994</v>
      </c>
      <c r="T119" s="105">
        <v>76</v>
      </c>
      <c r="U119" s="105">
        <v>85</v>
      </c>
      <c r="V119" s="105">
        <v>81</v>
      </c>
      <c r="W119" s="105">
        <v>83.9</v>
      </c>
      <c r="X119" s="105">
        <v>71</v>
      </c>
      <c r="Y119" s="105">
        <v>71</v>
      </c>
      <c r="Z119" s="105">
        <v>80</v>
      </c>
      <c r="AA119" s="105">
        <v>87</v>
      </c>
      <c r="AB119" s="105">
        <v>93.4</v>
      </c>
      <c r="AC119" s="105">
        <v>104.5</v>
      </c>
      <c r="AD119" s="105">
        <v>107.5</v>
      </c>
      <c r="AE119" s="105">
        <v>105.4</v>
      </c>
      <c r="AF119" s="105">
        <v>104.2</v>
      </c>
      <c r="AG119" s="118"/>
      <c r="AH119" s="47">
        <f t="shared" si="8"/>
        <v>107.5</v>
      </c>
      <c r="AI119" s="48">
        <f t="shared" si="9"/>
        <v>68.2</v>
      </c>
    </row>
    <row r="120" spans="1:37" ht="15.75" thickBot="1" x14ac:dyDescent="0.3">
      <c r="A120" s="119" t="s">
        <v>128</v>
      </c>
      <c r="B120" s="105">
        <v>35</v>
      </c>
      <c r="C120" s="105">
        <v>32</v>
      </c>
      <c r="D120" s="105">
        <v>32</v>
      </c>
      <c r="E120" s="105">
        <v>32</v>
      </c>
      <c r="F120" s="105">
        <v>32</v>
      </c>
      <c r="G120" s="105">
        <v>32</v>
      </c>
      <c r="H120" s="105">
        <v>32</v>
      </c>
      <c r="I120" s="105">
        <v>32</v>
      </c>
      <c r="J120" s="105">
        <v>54</v>
      </c>
      <c r="K120" s="105">
        <v>-7.5</v>
      </c>
      <c r="L120" s="105">
        <v>1.3</v>
      </c>
      <c r="M120" s="105">
        <v>-10.4</v>
      </c>
      <c r="N120" s="105">
        <v>-18.2</v>
      </c>
      <c r="O120" s="105">
        <v>-20.7</v>
      </c>
      <c r="P120" s="105">
        <v>-5.7</v>
      </c>
      <c r="Q120" s="105">
        <v>-3.8</v>
      </c>
      <c r="R120" s="105">
        <v>-9.9</v>
      </c>
      <c r="S120" s="105">
        <v>-9.9</v>
      </c>
      <c r="T120" s="105">
        <v>-11</v>
      </c>
      <c r="U120" s="105">
        <v>-3</v>
      </c>
      <c r="V120" s="105">
        <v>-10</v>
      </c>
      <c r="W120" s="105">
        <v>-10.7</v>
      </c>
      <c r="X120" s="105">
        <v>-5</v>
      </c>
      <c r="Y120" s="105">
        <v>-5</v>
      </c>
      <c r="Z120" s="105">
        <v>31</v>
      </c>
      <c r="AA120" s="105">
        <v>42</v>
      </c>
      <c r="AB120" s="105">
        <v>32.4</v>
      </c>
      <c r="AC120" s="105">
        <v>40.200000000000003</v>
      </c>
      <c r="AD120" s="105">
        <v>40.5</v>
      </c>
      <c r="AE120" s="105">
        <v>37.9</v>
      </c>
      <c r="AF120" s="105">
        <v>26.2</v>
      </c>
      <c r="AG120" s="118"/>
      <c r="AH120" s="47">
        <f t="shared" si="8"/>
        <v>54</v>
      </c>
      <c r="AI120" s="48">
        <f t="shared" si="9"/>
        <v>-20.7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2041.8400000000001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2080/05/16)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1989.2400000000002</v>
      </c>
      <c r="U249" s="170">
        <f t="shared" si="22"/>
        <v>1980.5400000000002</v>
      </c>
      <c r="V249" s="170">
        <f t="shared" si="22"/>
        <v>1980.5400000000002</v>
      </c>
      <c r="W249" s="170">
        <f t="shared" si="22"/>
        <v>1980.5400000000002</v>
      </c>
      <c r="X249" s="170">
        <f t="shared" si="22"/>
        <v>1980.5400000000002</v>
      </c>
      <c r="Y249" s="170">
        <f t="shared" si="22"/>
        <v>1980.5400000000002</v>
      </c>
      <c r="Z249" s="170">
        <f t="shared" si="22"/>
        <v>1980.5400000000002</v>
      </c>
      <c r="AA249" s="170">
        <f t="shared" si="22"/>
        <v>1980.5400000000002</v>
      </c>
      <c r="AB249" s="170">
        <f t="shared" si="22"/>
        <v>1980.5400000000002</v>
      </c>
      <c r="AC249" s="170">
        <f t="shared" si="22"/>
        <v>1990.5400000000002</v>
      </c>
      <c r="AD249" s="170">
        <f t="shared" si="22"/>
        <v>2033.5400000000002</v>
      </c>
      <c r="AE249" s="170">
        <f t="shared" si="22"/>
        <v>2031.2400000000002</v>
      </c>
      <c r="AF249" s="170">
        <f t="shared" si="22"/>
        <v>2041.8400000000001</v>
      </c>
      <c r="AG249" s="170">
        <f t="shared" si="22"/>
        <v>2041.2400000000002</v>
      </c>
      <c r="AH249" s="170">
        <f t="shared" si="22"/>
        <v>1972.64</v>
      </c>
      <c r="AI249" s="170">
        <f t="shared" si="22"/>
        <v>1998.1399999999999</v>
      </c>
      <c r="AJ249" s="170">
        <f t="shared" si="22"/>
        <v>1986.2400000000002</v>
      </c>
      <c r="AK249" s="170">
        <f t="shared" si="22"/>
        <v>1987.0400000000002</v>
      </c>
      <c r="AL249" s="170">
        <f t="shared" si="22"/>
        <v>1979.0400000000002</v>
      </c>
      <c r="AM249" s="170">
        <f t="shared" si="22"/>
        <v>1975.0400000000002</v>
      </c>
      <c r="AN249" s="170">
        <f t="shared" si="22"/>
        <v>1983.7400000000002</v>
      </c>
      <c r="AO249" s="170">
        <f t="shared" si="22"/>
        <v>1982.5400000000002</v>
      </c>
      <c r="AP249" s="170">
        <f t="shared" si="22"/>
        <v>1961.74</v>
      </c>
      <c r="AQ249" s="170">
        <f t="shared" si="22"/>
        <v>2068.84</v>
      </c>
      <c r="AR249" s="170">
        <f t="shared" si="22"/>
        <v>2096.5</v>
      </c>
      <c r="AS249" s="170">
        <f t="shared" si="22"/>
        <v>2151.23</v>
      </c>
      <c r="AT249" s="170">
        <f t="shared" si="22"/>
        <v>2161.4299999999998</v>
      </c>
      <c r="AU249" s="170">
        <f t="shared" si="22"/>
        <v>2152.1299999999997</v>
      </c>
      <c r="AV249" s="170">
        <f t="shared" si="22"/>
        <v>2124.33</v>
      </c>
      <c r="AW249" s="170">
        <f t="shared" si="22"/>
        <v>2019.33</v>
      </c>
      <c r="AX249" s="170">
        <f t="shared" si="22"/>
        <v>1996.73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143" priority="64">
      <formula>$AH11=0</formula>
    </cfRule>
  </conditionalFormatting>
  <conditionalFormatting sqref="B8 M8 S8 AB8">
    <cfRule type="expression" dxfId="2142" priority="115">
      <formula>AND(C$9&gt;=14/24,C$9&lt;20/24)</formula>
    </cfRule>
    <cfRule type="expression" dxfId="2141" priority="117">
      <formula>C$9&lt;8/24</formula>
    </cfRule>
    <cfRule type="expression" dxfId="2140" priority="116">
      <formula>AND(C$9&gt;=8/24,C$9&lt;14/24)</formula>
    </cfRule>
  </conditionalFormatting>
  <conditionalFormatting sqref="B54:C54">
    <cfRule type="expression" dxfId="2139" priority="41">
      <formula>B$9&lt;8/24</formula>
    </cfRule>
    <cfRule type="expression" dxfId="2138" priority="38">
      <formula>B$9&gt;=20/24</formula>
    </cfRule>
    <cfRule type="expression" dxfId="2137" priority="39">
      <formula>AND(B$9&gt;=14/24,B$9&lt;20/24)</formula>
    </cfRule>
    <cfRule type="expression" dxfId="2136" priority="40">
      <formula>AND(B$9&gt;=8/24,B$9&lt;14/24)</formula>
    </cfRule>
  </conditionalFormatting>
  <conditionalFormatting sqref="B54:C66">
    <cfRule type="expression" dxfId="2135" priority="33">
      <formula>B54&gt;$AG54</formula>
    </cfRule>
  </conditionalFormatting>
  <conditionalFormatting sqref="B55:Q59">
    <cfRule type="expression" dxfId="2134" priority="62">
      <formula>AND(B$9&gt;=8/24,B$9&lt;14/24)</formula>
    </cfRule>
    <cfRule type="expression" dxfId="2133" priority="61">
      <formula>AND(B$9&gt;=14/24,B$9&lt;20/24)</formula>
    </cfRule>
    <cfRule type="expression" dxfId="2132" priority="60">
      <formula>B$9&gt;=20/24</formula>
    </cfRule>
    <cfRule type="expression" dxfId="2131" priority="63">
      <formula>B$9&lt;8/24</formula>
    </cfRule>
  </conditionalFormatting>
  <conditionalFormatting sqref="B60:V60">
    <cfRule type="expression" dxfId="2130" priority="51">
      <formula>B$9&gt;=20/24</formula>
    </cfRule>
    <cfRule type="expression" dxfId="2129" priority="54">
      <formula>B$9&lt;8/24</formula>
    </cfRule>
    <cfRule type="expression" dxfId="2128" priority="53">
      <formula>AND(B$9&gt;=8/24,B$9&lt;14/24)</formula>
    </cfRule>
    <cfRule type="expression" dxfId="2127" priority="52">
      <formula>AND(B$9&gt;=14/24,B$9&lt;20/24)</formula>
    </cfRule>
  </conditionalFormatting>
  <conditionalFormatting sqref="B61:AD66 AC62:AF62">
    <cfRule type="expression" dxfId="2126" priority="34">
      <formula>B$9&gt;=20/24</formula>
    </cfRule>
    <cfRule type="expression" dxfId="2125" priority="35">
      <formula>AND(B$9&gt;=14/24,B$9&lt;20/24)</formula>
    </cfRule>
    <cfRule type="expression" dxfId="2124" priority="36">
      <formula>AND(B$9&gt;=8/24,B$9&lt;14/24)</formula>
    </cfRule>
    <cfRule type="expression" dxfId="2123" priority="37">
      <formula>B$9&lt;8/24</formula>
    </cfRule>
  </conditionalFormatting>
  <conditionalFormatting sqref="B9:AF45">
    <cfRule type="expression" dxfId="2122" priority="23">
      <formula>B$9&gt;=20/24</formula>
    </cfRule>
    <cfRule type="expression" dxfId="2121" priority="24">
      <formula>AND(B$9&gt;=14/24,B$9&lt;20/24)</formula>
    </cfRule>
    <cfRule type="expression" dxfId="2120" priority="25">
      <formula>AND(B$9&gt;=8/24,B$9&lt;14/24)</formula>
    </cfRule>
    <cfRule type="expression" dxfId="2119" priority="26">
      <formula>B$9&lt;8/24</formula>
    </cfRule>
  </conditionalFormatting>
  <conditionalFormatting sqref="B11:AF46">
    <cfRule type="expression" dxfId="2118" priority="22">
      <formula>B11&gt;$AG11</formula>
    </cfRule>
  </conditionalFormatting>
  <conditionalFormatting sqref="B46:AF46">
    <cfRule type="expression" dxfId="2117" priority="21">
      <formula>B$9&lt;8/24</formula>
    </cfRule>
    <cfRule type="expression" dxfId="2116" priority="20">
      <formula>AND(B$9&gt;=8/24,B$9&lt;14/24)</formula>
    </cfRule>
    <cfRule type="expression" dxfId="2115" priority="18">
      <formula>B$9&gt;=20/24</formula>
    </cfRule>
    <cfRule type="expression" dxfId="2114" priority="19">
      <formula>AND(B$9&gt;=14/24,B$9&lt;20/24)</formula>
    </cfRule>
  </conditionalFormatting>
  <conditionalFormatting sqref="B47:AF47">
    <cfRule type="expression" dxfId="2113" priority="32">
      <formula>B47&gt;$AG47</formula>
    </cfRule>
  </conditionalFormatting>
  <conditionalFormatting sqref="B47:AF49">
    <cfRule type="expression" dxfId="2112" priority="28">
      <formula>B$9&gt;=20/24</formula>
    </cfRule>
    <cfRule type="expression" dxfId="2111" priority="29">
      <formula>AND(B$9&gt;=14/24,B$9&lt;20/24)</formula>
    </cfRule>
    <cfRule type="expression" dxfId="2110" priority="30">
      <formula>AND(B$9&gt;=8/24,B$9&lt;14/24)</formula>
    </cfRule>
    <cfRule type="expression" dxfId="2109" priority="31">
      <formula>B$9&lt;8/24</formula>
    </cfRule>
  </conditionalFormatting>
  <conditionalFormatting sqref="B48:AF53">
    <cfRule type="expression" dxfId="2108" priority="27">
      <formula>B48&gt;$AG48</formula>
    </cfRule>
  </conditionalFormatting>
  <conditionalFormatting sqref="B51:AF53">
    <cfRule type="expression" dxfId="2107" priority="47">
      <formula>B$9&gt;=20/24</formula>
    </cfRule>
    <cfRule type="expression" dxfId="2106" priority="50">
      <formula>B$9&lt;8/24</formula>
    </cfRule>
    <cfRule type="expression" dxfId="2105" priority="49">
      <formula>AND(B$9&gt;=8/24,B$9&lt;14/24)</formula>
    </cfRule>
    <cfRule type="expression" dxfId="2104" priority="48">
      <formula>AND(B$9&gt;=14/24,B$9&lt;20/24)</formula>
    </cfRule>
  </conditionalFormatting>
  <conditionalFormatting sqref="B69:AF71">
    <cfRule type="expression" dxfId="2103" priority="59">
      <formula>B$9&lt;8/24</formula>
    </cfRule>
    <cfRule type="expression" dxfId="2102" priority="55">
      <formula>B69&gt;$AG69</formula>
    </cfRule>
    <cfRule type="expression" dxfId="2101" priority="56">
      <formula>B$9&gt;=20/24</formula>
    </cfRule>
    <cfRule type="expression" dxfId="2100" priority="57">
      <formula>AND(B$9&gt;=14/24,B$9&lt;20/24)</formula>
    </cfRule>
    <cfRule type="expression" dxfId="2099" priority="58">
      <formula>AND(B$9&gt;=8/24,B$9&lt;14/24)</formula>
    </cfRule>
  </conditionalFormatting>
  <conditionalFormatting sqref="B73:AF91">
    <cfRule type="expression" dxfId="2098" priority="3">
      <formula>AND(B$9&gt;=8/24,B$9&lt;14/24)</formula>
    </cfRule>
    <cfRule type="expression" dxfId="2097" priority="4">
      <formula>B$9&lt;8/24</formula>
    </cfRule>
    <cfRule type="expression" dxfId="2096" priority="2">
      <formula>AND(B$9&gt;=14/24,B$9&lt;20/24)</formula>
    </cfRule>
    <cfRule type="expression" dxfId="2095" priority="1">
      <formula>B$9&gt;=20/24</formula>
    </cfRule>
  </conditionalFormatting>
  <conditionalFormatting sqref="B111:AF120">
    <cfRule type="expression" dxfId="2094" priority="17">
      <formula>B$9&lt;8/24</formula>
    </cfRule>
    <cfRule type="expression" dxfId="2093" priority="14">
      <formula>B$9&gt;=20/24</formula>
    </cfRule>
    <cfRule type="expression" dxfId="2092" priority="15">
      <formula>AND(B$9&gt;=14/24,B$9&lt;20/24)</formula>
    </cfRule>
    <cfRule type="expression" dxfId="2091" priority="16">
      <formula>AND(B$9&gt;=8/24,B$9&lt;14/24)</formula>
    </cfRule>
  </conditionalFormatting>
  <conditionalFormatting sqref="B227:AF227 D229:AF230 B229:B235 D231:H231 J231:AF231 D232:AF235 U248:AF248">
    <cfRule type="expression" dxfId="2090" priority="111">
      <formula>B$9&lt;8/24</formula>
    </cfRule>
    <cfRule type="expression" dxfId="2089" priority="110">
      <formula>AND(B$9&gt;=8/24,B$9&lt;14/24)</formula>
    </cfRule>
    <cfRule type="expression" dxfId="2088" priority="108">
      <formula>B$9&gt;=20/24</formula>
    </cfRule>
    <cfRule type="expression" dxfId="2087" priority="109">
      <formula>AND(B$9&gt;=14/24,B$9&lt;20/24)</formula>
    </cfRule>
  </conditionalFormatting>
  <conditionalFormatting sqref="B67:AG68 B72:AG72">
    <cfRule type="expression" dxfId="2086" priority="42">
      <formula>B67&gt;$AG67</formula>
    </cfRule>
  </conditionalFormatting>
  <conditionalFormatting sqref="B72:AG72 B93:AF109">
    <cfRule type="expression" dxfId="2085" priority="44">
      <formula>AND(B$9&gt;=14/24,B$9&lt;20/24)</formula>
    </cfRule>
    <cfRule type="expression" dxfId="2084" priority="43">
      <formula>B$9&gt;=20/24</formula>
    </cfRule>
    <cfRule type="expression" dxfId="2083" priority="46">
      <formula>B$9&lt;8/24</formula>
    </cfRule>
    <cfRule type="expression" dxfId="2082" priority="45">
      <formula>AND(B$9&gt;=8/24,B$9&lt;14/24)</formula>
    </cfRule>
  </conditionalFormatting>
  <conditionalFormatting sqref="D55:AF66">
    <cfRule type="expression" dxfId="2081" priority="5">
      <formula>D55&gt;$AG55</formula>
    </cfRule>
  </conditionalFormatting>
  <conditionalFormatting sqref="D54:AG54">
    <cfRule type="expression" dxfId="2080" priority="76">
      <formula>D54&gt;$AG54</formula>
    </cfRule>
    <cfRule type="expression" dxfId="2079" priority="77">
      <formula>D$9&gt;=20/24</formula>
    </cfRule>
    <cfRule type="expression" dxfId="2078" priority="78">
      <formula>AND(D$9&gt;=14/24,D$9&lt;20/24)</formula>
    </cfRule>
    <cfRule type="expression" dxfId="2077" priority="79">
      <formula>AND(D$9&gt;=8/24,D$9&lt;14/24)</formula>
    </cfRule>
    <cfRule type="expression" dxfId="2076" priority="80">
      <formula>D$9&lt;8/24</formula>
    </cfRule>
  </conditionalFormatting>
  <conditionalFormatting sqref="M55:V59">
    <cfRule type="expression" dxfId="2075" priority="95">
      <formula>AND(M$9&gt;=8/24,M$9&lt;14/24)</formula>
    </cfRule>
    <cfRule type="expression" dxfId="2074" priority="96">
      <formula>M$9&lt;8/24</formula>
    </cfRule>
    <cfRule type="expression" dxfId="2073" priority="93">
      <formula>M$9&gt;=20/24</formula>
    </cfRule>
    <cfRule type="expression" dxfId="2072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071" priority="114">
      <formula>C$9&gt;=20/24</formula>
    </cfRule>
  </conditionalFormatting>
  <conditionalFormatting sqref="S8">
    <cfRule type="expression" dxfId="2070" priority="101">
      <formula>U$9&gt;=20/24</formula>
    </cfRule>
    <cfRule type="expression" dxfId="2069" priority="102">
      <formula>AND(U$9&gt;=14/24,U$9&lt;20/24)</formula>
    </cfRule>
    <cfRule type="expression" dxfId="2068" priority="103">
      <formula>AND(U$9&gt;=8/24,U$9&lt;14/24)</formula>
    </cfRule>
    <cfRule type="expression" dxfId="2067" priority="104">
      <formula>U$9&lt;8/24</formula>
    </cfRule>
  </conditionalFormatting>
  <conditionalFormatting sqref="S55:AF60">
    <cfRule type="expression" dxfId="2066" priority="13">
      <formula>S$9&lt;8/24</formula>
    </cfRule>
    <cfRule type="expression" dxfId="2065" priority="11">
      <formula>AND(S$9&gt;=14/24,S$9&lt;20/24)</formula>
    </cfRule>
    <cfRule type="expression" dxfId="2064" priority="12">
      <formula>AND(S$9&gt;=8/24,S$9&lt;14/24)</formula>
    </cfRule>
    <cfRule type="expression" dxfId="2063" priority="10">
      <formula>S$9&gt;=20/24</formula>
    </cfRule>
  </conditionalFormatting>
  <conditionalFormatting sqref="T248">
    <cfRule type="expression" dxfId="2062" priority="129">
      <formula>AX$9&lt;8/24</formula>
    </cfRule>
    <cfRule type="expression" dxfId="2061" priority="126">
      <formula>AX$9&gt;=20/24</formula>
    </cfRule>
    <cfRule type="expression" dxfId="2060" priority="127">
      <formula>AND(AX$9&gt;=14/24,AX$9&lt;20/24)</formula>
    </cfRule>
    <cfRule type="expression" dxfId="2059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058" priority="97">
      <formula>AD$9&gt;=20/24</formula>
    </cfRule>
    <cfRule type="expression" dxfId="2057" priority="98">
      <formula>AND(AD$9&gt;=14/24,AD$9&lt;20/24)</formula>
    </cfRule>
    <cfRule type="expression" dxfId="2056" priority="99">
      <formula>AND(AD$9&gt;=8/24,AD$9&lt;14/24)</formula>
    </cfRule>
    <cfRule type="expression" dxfId="2055" priority="100">
      <formula>AD$9&lt;8/24</formula>
    </cfRule>
  </conditionalFormatting>
  <conditionalFormatting sqref="AE61:AF66">
    <cfRule type="expression" dxfId="2054" priority="6">
      <formula>AE$9&gt;=20/24</formula>
    </cfRule>
    <cfRule type="expression" dxfId="2053" priority="9">
      <formula>AE$9&lt;8/24</formula>
    </cfRule>
    <cfRule type="expression" dxfId="2052" priority="8">
      <formula>AND(AE$9&gt;=8/24,AE$9&lt;14/24)</formula>
    </cfRule>
    <cfRule type="expression" dxfId="2051" priority="7">
      <formula>AND(AE$9&gt;=14/24,AE$9&lt;20/24)</formula>
    </cfRule>
  </conditionalFormatting>
  <conditionalFormatting sqref="AG50">
    <cfRule type="expression" dxfId="2050" priority="84">
      <formula>AG50&gt;$AG50</formula>
    </cfRule>
  </conditionalFormatting>
  <conditionalFormatting sqref="AG89">
    <cfRule type="expression" dxfId="2049" priority="85">
      <formula>AG$9&gt;=20/24</formula>
    </cfRule>
    <cfRule type="expression" dxfId="2048" priority="86">
      <formula>AND(AG$9&gt;=14/24,AG$9&lt;20/24)</formula>
    </cfRule>
    <cfRule type="expression" dxfId="2047" priority="87">
      <formula>AND(AG$9&gt;=8/24,AG$9&lt;14/24)</formula>
    </cfRule>
    <cfRule type="expression" dxfId="2046" priority="88">
      <formula>AG$9&lt;8/24</formula>
    </cfRule>
  </conditionalFormatting>
  <conditionalFormatting sqref="AG248">
    <cfRule type="expression" dxfId="2045" priority="118">
      <formula>B$9&gt;=20/24</formula>
    </cfRule>
    <cfRule type="expression" dxfId="2044" priority="119">
      <formula>AND(B$9&gt;=14/24,B$9&lt;20/24)</formula>
    </cfRule>
    <cfRule type="expression" dxfId="2043" priority="120">
      <formula>AND(B$9&gt;=8/24,B$9&lt;14/24)</formula>
    </cfRule>
    <cfRule type="expression" dxfId="2042" priority="121">
      <formula>B$9&lt;8/24</formula>
    </cfRule>
  </conditionalFormatting>
  <conditionalFormatting sqref="AH248:AX248">
    <cfRule type="expression" dxfId="2041" priority="122">
      <formula>AG$9&gt;=20/24</formula>
    </cfRule>
    <cfRule type="expression" dxfId="2040" priority="123">
      <formula>AND(AG$9&gt;=14/24,AG$9&lt;20/24)</formula>
    </cfRule>
    <cfRule type="expression" dxfId="2039" priority="124">
      <formula>AND(AG$9&gt;=8/24,AG$9&lt;14/24)</formula>
    </cfRule>
    <cfRule type="expression" dxfId="203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037" priority="131">
      <formula>AJ$9&gt;=20/24</formula>
    </cfRule>
    <cfRule type="expression" dxfId="2036" priority="132">
      <formula>AND(AJ$9&gt;=14/24,AJ$9&lt;20/24)</formula>
    </cfRule>
    <cfRule type="expression" dxfId="2035" priority="133">
      <formula>AND(AJ$9&gt;=8/24,AJ$9&lt;14/24)</formula>
    </cfRule>
    <cfRule type="expression" dxfId="2034" priority="134">
      <formula>AJ$9&lt;8/24</formula>
    </cfRule>
  </conditionalFormatting>
  <conditionalFormatting sqref="AL80:AN80 AL86:AN86">
    <cfRule type="expression" dxfId="2033" priority="72">
      <formula>AL$9&gt;=20/24</formula>
    </cfRule>
    <cfRule type="expression" dxfId="2032" priority="73">
      <formula>AND(AL$9&gt;=14/24,AL$9&lt;20/24)</formula>
    </cfRule>
    <cfRule type="expression" dxfId="2031" priority="74">
      <formula>AND(AL$9&gt;=8/24,AL$9&lt;14/24)</formula>
    </cfRule>
    <cfRule type="expression" dxfId="2030" priority="75">
      <formula>AL$9&lt;8/24</formula>
    </cfRule>
  </conditionalFormatting>
  <conditionalFormatting sqref="AN81:AN84">
    <cfRule type="expression" dxfId="2029" priority="68">
      <formula>AN$9&gt;=20/24</formula>
    </cfRule>
    <cfRule type="expression" dxfId="2028" priority="69">
      <formula>AND(AN$9&gt;=14/24,AN$9&lt;20/24)</formula>
    </cfRule>
    <cfRule type="expression" dxfId="2027" priority="70">
      <formula>AND(AN$9&gt;=8/24,AN$9&lt;14/24)</formula>
    </cfRule>
    <cfRule type="expression" dxfId="202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5BEA9-D9A7-4315-9FEE-F892727DC61C}">
  <sheetPr codeName="Sheet19"/>
  <dimension ref="A1:CJ281"/>
  <sheetViews>
    <sheetView workbookViewId="0">
      <pane xSplit="1" ySplit="10" topLeftCell="D1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L20" sqref="L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2080/05/17</v>
      </c>
      <c r="C4" s="196"/>
      <c r="D4" s="196"/>
      <c r="E4" s="197" t="str">
        <f ca="1">"2080/"&amp;"05/"&amp;INT(MID(CELL("filename",G6),FIND("]",CELL("filename",G6))+1,200))</f>
        <v>2080/05/17</v>
      </c>
      <c r="F4" s="197"/>
      <c r="G4" s="197"/>
      <c r="H4" s="197" t="str">
        <f ca="1">TEXT(E4,"dddd")</f>
        <v>Friday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5</v>
      </c>
      <c r="C5" s="30">
        <f t="shared" si="0"/>
        <v>5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14.6</v>
      </c>
      <c r="N5" s="30">
        <f t="shared" si="0"/>
        <v>25.3</v>
      </c>
      <c r="O5" s="30">
        <f t="shared" si="0"/>
        <v>37</v>
      </c>
      <c r="P5" s="30">
        <f t="shared" si="0"/>
        <v>64.599999999999994</v>
      </c>
      <c r="Q5" s="30">
        <f t="shared" si="0"/>
        <v>42</v>
      </c>
      <c r="R5" s="30">
        <f t="shared" si="0"/>
        <v>41.6</v>
      </c>
      <c r="S5" s="30">
        <f t="shared" si="0"/>
        <v>28.6</v>
      </c>
      <c r="T5" s="30">
        <f t="shared" si="0"/>
        <v>26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20.3</v>
      </c>
      <c r="Z5" s="30">
        <f t="shared" si="0"/>
        <v>24.4</v>
      </c>
      <c r="AA5" s="30">
        <f t="shared" si="0"/>
        <v>21.1</v>
      </c>
      <c r="AB5" s="30">
        <f t="shared" si="0"/>
        <v>18.2</v>
      </c>
      <c r="AC5" s="30">
        <f t="shared" si="0"/>
        <v>15.1</v>
      </c>
      <c r="AD5" s="30">
        <f t="shared" si="0"/>
        <v>0</v>
      </c>
      <c r="AE5" s="30">
        <f t="shared" si="0"/>
        <v>11.1</v>
      </c>
      <c r="AF5" s="30">
        <f>B84</f>
        <v>5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2031MW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Load=1911</v>
      </c>
      <c r="B7" s="35">
        <f t="shared" ref="B7:AF7" si="1">B91</f>
        <v>2015.0299999999997</v>
      </c>
      <c r="C7" s="35">
        <f t="shared" si="1"/>
        <v>1999.53</v>
      </c>
      <c r="D7" s="35">
        <f t="shared" si="1"/>
        <v>1998.0300000000002</v>
      </c>
      <c r="E7" s="35">
        <f t="shared" si="1"/>
        <v>1972.3300000000002</v>
      </c>
      <c r="F7" s="35">
        <f t="shared" si="1"/>
        <v>1910.7299999999998</v>
      </c>
      <c r="G7" s="35">
        <f t="shared" si="1"/>
        <v>2010.6299999999999</v>
      </c>
      <c r="H7" s="35">
        <f t="shared" si="1"/>
        <v>1996.6299999999999</v>
      </c>
      <c r="I7" s="35">
        <f t="shared" si="1"/>
        <v>2003.6299999999999</v>
      </c>
      <c r="J7" s="35">
        <f t="shared" si="1"/>
        <v>1994.13</v>
      </c>
      <c r="K7" s="35">
        <f t="shared" si="1"/>
        <v>2029.0299999999997</v>
      </c>
      <c r="L7" s="35">
        <f t="shared" si="1"/>
        <v>2029.0299999999997</v>
      </c>
      <c r="M7" s="35">
        <f t="shared" si="1"/>
        <v>2030.5300000000002</v>
      </c>
      <c r="N7" s="35">
        <f>N91</f>
        <v>1979.5299999999997</v>
      </c>
      <c r="O7" s="35">
        <f t="shared" si="1"/>
        <v>2002.2299999999998</v>
      </c>
      <c r="P7" s="35">
        <f t="shared" si="1"/>
        <v>2047.4299999999998</v>
      </c>
      <c r="Q7" s="35">
        <f t="shared" si="1"/>
        <v>2075.0299999999997</v>
      </c>
      <c r="R7" s="35">
        <f t="shared" si="1"/>
        <v>2052.4299999999998</v>
      </c>
      <c r="S7" s="35">
        <f t="shared" si="1"/>
        <v>2079.5700000000002</v>
      </c>
      <c r="T7" s="35">
        <f t="shared" si="1"/>
        <v>2082.27</v>
      </c>
      <c r="U7" s="35">
        <f t="shared" si="1"/>
        <v>2088.67</v>
      </c>
      <c r="V7" s="35">
        <f t="shared" si="1"/>
        <v>2125.87</v>
      </c>
      <c r="W7" s="35">
        <f t="shared" si="1"/>
        <v>2120.77</v>
      </c>
      <c r="X7" s="35">
        <f t="shared" si="1"/>
        <v>2135.0700000000002</v>
      </c>
      <c r="Y7" s="35">
        <f t="shared" si="1"/>
        <v>2144.0700000000002</v>
      </c>
      <c r="Z7" s="35">
        <f t="shared" si="1"/>
        <v>2238.4700000000003</v>
      </c>
      <c r="AA7" s="35">
        <f t="shared" si="1"/>
        <v>2227.3700000000003</v>
      </c>
      <c r="AB7" s="35">
        <f t="shared" si="1"/>
        <v>2200.4700000000003</v>
      </c>
      <c r="AC7" s="35">
        <f t="shared" si="1"/>
        <v>2188.5700000000002</v>
      </c>
      <c r="AD7" s="35">
        <f t="shared" si="1"/>
        <v>2170.0700000000002</v>
      </c>
      <c r="AE7" s="35">
        <f t="shared" si="1"/>
        <v>2036.67</v>
      </c>
      <c r="AF7" s="35">
        <f t="shared" si="1"/>
        <v>2074.0700000000002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90.2</v>
      </c>
      <c r="D11" s="45">
        <v>89.9</v>
      </c>
      <c r="E11" s="45">
        <v>89.9</v>
      </c>
      <c r="F11" s="45">
        <v>89.9</v>
      </c>
      <c r="G11" s="45">
        <v>89.9</v>
      </c>
      <c r="H11" s="45">
        <v>89.9</v>
      </c>
      <c r="I11" s="45">
        <v>89.9</v>
      </c>
      <c r="J11" s="45">
        <v>90</v>
      </c>
      <c r="K11" s="45">
        <v>89.9</v>
      </c>
      <c r="L11" s="45">
        <v>89.9</v>
      </c>
      <c r="M11" s="45">
        <v>89.9</v>
      </c>
      <c r="N11" s="45">
        <v>89.9</v>
      </c>
      <c r="O11" s="45">
        <v>89.9</v>
      </c>
      <c r="P11" s="45">
        <v>89.9</v>
      </c>
      <c r="Q11" s="45">
        <v>89.9</v>
      </c>
      <c r="R11" s="45">
        <v>89.9</v>
      </c>
      <c r="S11" s="45">
        <v>60.3</v>
      </c>
      <c r="T11" s="45">
        <v>60.3</v>
      </c>
      <c r="U11" s="45">
        <v>90</v>
      </c>
      <c r="V11" s="45">
        <v>90</v>
      </c>
      <c r="W11" s="45">
        <v>89.9</v>
      </c>
      <c r="X11" s="45">
        <v>89.9</v>
      </c>
      <c r="Y11" s="45">
        <v>89.9</v>
      </c>
      <c r="Z11" s="45">
        <v>90.3</v>
      </c>
      <c r="AA11" s="45">
        <v>90.3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60.3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8</v>
      </c>
      <c r="K12" s="45">
        <v>8</v>
      </c>
      <c r="L12" s="45">
        <v>8</v>
      </c>
      <c r="M12" s="45">
        <v>8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9</v>
      </c>
      <c r="AF12" s="45">
        <v>9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54.4</v>
      </c>
      <c r="K13" s="45">
        <v>54.4</v>
      </c>
      <c r="L13" s="45">
        <v>54.4</v>
      </c>
      <c r="M13" s="45">
        <v>54.4</v>
      </c>
      <c r="N13" s="45">
        <v>54.4</v>
      </c>
      <c r="O13" s="45">
        <v>54.4</v>
      </c>
      <c r="P13" s="45">
        <v>54.4</v>
      </c>
      <c r="Q13" s="45">
        <v>54.4</v>
      </c>
      <c r="R13" s="45">
        <v>54.4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54.2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50.6</v>
      </c>
      <c r="C14" s="45">
        <v>50.3</v>
      </c>
      <c r="D14" s="45">
        <v>50.6</v>
      </c>
      <c r="E14" s="45">
        <v>50.6</v>
      </c>
      <c r="F14" s="45">
        <v>50.6</v>
      </c>
      <c r="G14" s="45">
        <v>50.6</v>
      </c>
      <c r="H14" s="45">
        <v>50.6</v>
      </c>
      <c r="I14" s="45">
        <v>50.6</v>
      </c>
      <c r="J14" s="58">
        <v>50.6</v>
      </c>
      <c r="K14" s="58">
        <v>50.6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50.7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50.7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47</v>
      </c>
      <c r="C15" s="45">
        <v>46.9</v>
      </c>
      <c r="D15" s="45">
        <v>46.9</v>
      </c>
      <c r="E15" s="45">
        <v>41</v>
      </c>
      <c r="F15" s="45">
        <v>41</v>
      </c>
      <c r="G15" s="45">
        <v>40.6</v>
      </c>
      <c r="H15" s="45">
        <v>40.6</v>
      </c>
      <c r="I15" s="45">
        <v>40.6</v>
      </c>
      <c r="J15" s="45">
        <v>47</v>
      </c>
      <c r="K15" s="45">
        <v>47</v>
      </c>
      <c r="L15" s="45">
        <v>47</v>
      </c>
      <c r="M15" s="45">
        <v>47</v>
      </c>
      <c r="N15" s="45">
        <v>47</v>
      </c>
      <c r="O15" s="45">
        <v>47</v>
      </c>
      <c r="P15" s="45">
        <v>47</v>
      </c>
      <c r="Q15" s="45">
        <v>47</v>
      </c>
      <c r="R15" s="45">
        <v>47</v>
      </c>
      <c r="S15" s="45">
        <v>47.2</v>
      </c>
      <c r="T15" s="45">
        <v>47.2</v>
      </c>
      <c r="U15" s="45">
        <v>47.2</v>
      </c>
      <c r="V15" s="45">
        <v>47.2</v>
      </c>
      <c r="W15" s="45">
        <v>47.2</v>
      </c>
      <c r="X15" s="45">
        <v>47.2</v>
      </c>
      <c r="Y15" s="45">
        <v>47.2</v>
      </c>
      <c r="Z15" s="45">
        <v>47.2</v>
      </c>
      <c r="AA15" s="45">
        <v>47.2</v>
      </c>
      <c r="AB15" s="45">
        <v>47.2</v>
      </c>
      <c r="AC15" s="45">
        <v>47.2</v>
      </c>
      <c r="AD15" s="45">
        <v>47.2</v>
      </c>
      <c r="AE15" s="45">
        <v>47.2</v>
      </c>
      <c r="AF15" s="45">
        <v>47.2</v>
      </c>
      <c r="AG15" s="49">
        <v>45</v>
      </c>
      <c r="AH15" s="47">
        <f t="shared" si="2"/>
        <v>47.2</v>
      </c>
      <c r="AI15" s="48">
        <f t="shared" si="3"/>
        <v>40.6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0</v>
      </c>
      <c r="G16" s="45">
        <v>44</v>
      </c>
      <c r="H16" s="45">
        <v>44</v>
      </c>
      <c r="I16" s="45">
        <v>44</v>
      </c>
      <c r="J16" s="45">
        <v>15</v>
      </c>
      <c r="K16" s="45">
        <v>15</v>
      </c>
      <c r="L16" s="45">
        <v>15</v>
      </c>
      <c r="M16" s="45">
        <v>15</v>
      </c>
      <c r="N16" s="45">
        <v>10</v>
      </c>
      <c r="O16" s="45">
        <v>10</v>
      </c>
      <c r="P16" s="45">
        <v>10</v>
      </c>
      <c r="Q16" s="45">
        <v>10</v>
      </c>
      <c r="R16" s="45">
        <v>10</v>
      </c>
      <c r="S16" s="45">
        <v>10</v>
      </c>
      <c r="T16" s="45">
        <v>10</v>
      </c>
      <c r="U16" s="45">
        <v>10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>
        <v>0</v>
      </c>
      <c r="G17" s="45">
        <v>22</v>
      </c>
      <c r="H17" s="45">
        <v>22</v>
      </c>
      <c r="I17" s="45">
        <v>22</v>
      </c>
      <c r="J17" s="45">
        <v>12</v>
      </c>
      <c r="K17" s="45">
        <v>12</v>
      </c>
      <c r="L17" s="45">
        <v>12</v>
      </c>
      <c r="M17" s="45">
        <v>12</v>
      </c>
      <c r="N17" s="45">
        <v>8</v>
      </c>
      <c r="O17" s="45">
        <v>8</v>
      </c>
      <c r="P17" s="45">
        <v>8</v>
      </c>
      <c r="Q17" s="45">
        <v>8</v>
      </c>
      <c r="R17" s="45">
        <v>8</v>
      </c>
      <c r="S17" s="45">
        <v>9</v>
      </c>
      <c r="T17" s="45">
        <v>9</v>
      </c>
      <c r="U17" s="45">
        <v>9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28.4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38.46</v>
      </c>
      <c r="C18" s="45">
        <v>38.46</v>
      </c>
      <c r="D18" s="45">
        <v>38.46</v>
      </c>
      <c r="E18" s="45">
        <v>38.46</v>
      </c>
      <c r="F18" s="45">
        <v>38.46</v>
      </c>
      <c r="G18" s="45">
        <v>38.46</v>
      </c>
      <c r="H18" s="45">
        <v>38.46</v>
      </c>
      <c r="I18" s="45">
        <v>38.46</v>
      </c>
      <c r="J18" s="45">
        <v>38.46</v>
      </c>
      <c r="K18" s="45">
        <v>38.46</v>
      </c>
      <c r="L18" s="45">
        <v>38.46</v>
      </c>
      <c r="M18" s="45">
        <v>38.46</v>
      </c>
      <c r="N18" s="45">
        <v>38.46</v>
      </c>
      <c r="O18" s="45">
        <v>38.46</v>
      </c>
      <c r="P18" s="45">
        <v>38.46</v>
      </c>
      <c r="Q18" s="45">
        <v>38.46</v>
      </c>
      <c r="R18" s="45">
        <v>38.46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38.46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24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15</v>
      </c>
      <c r="K20" s="45">
        <v>20.399999999999999</v>
      </c>
      <c r="L20" s="45">
        <v>20.399999999999999</v>
      </c>
      <c r="M20" s="45">
        <v>30</v>
      </c>
      <c r="N20" s="45">
        <v>10</v>
      </c>
      <c r="O20" s="45">
        <v>15</v>
      </c>
      <c r="P20" s="45">
        <v>15</v>
      </c>
      <c r="Q20" s="45">
        <v>15</v>
      </c>
      <c r="R20" s="45">
        <v>15</v>
      </c>
      <c r="S20" s="45">
        <v>15.6</v>
      </c>
      <c r="T20" s="45">
        <v>15.6</v>
      </c>
      <c r="U20" s="45">
        <v>15.6</v>
      </c>
      <c r="V20" s="45">
        <v>25.6</v>
      </c>
      <c r="W20" s="45">
        <v>25.6</v>
      </c>
      <c r="X20" s="45">
        <v>25.6</v>
      </c>
      <c r="Y20" s="45">
        <v>25.6</v>
      </c>
      <c r="Z20" s="45">
        <v>30</v>
      </c>
      <c r="AA20" s="45">
        <v>30</v>
      </c>
      <c r="AB20" s="45">
        <v>30</v>
      </c>
      <c r="AC20" s="45">
        <v>21</v>
      </c>
      <c r="AD20" s="45">
        <v>21</v>
      </c>
      <c r="AE20" s="45">
        <v>5.7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26.7</v>
      </c>
      <c r="C21" s="45">
        <v>26.7</v>
      </c>
      <c r="D21" s="45">
        <v>26.6</v>
      </c>
      <c r="E21" s="45">
        <v>26.6</v>
      </c>
      <c r="F21" s="45">
        <v>26.6</v>
      </c>
      <c r="G21" s="45">
        <v>26.6</v>
      </c>
      <c r="H21" s="45">
        <v>26.6</v>
      </c>
      <c r="I21" s="45">
        <v>26.6</v>
      </c>
      <c r="J21" s="45">
        <v>26.7</v>
      </c>
      <c r="K21" s="45">
        <v>26.7</v>
      </c>
      <c r="L21" s="45">
        <v>26.7</v>
      </c>
      <c r="M21" s="45">
        <v>26.7</v>
      </c>
      <c r="N21" s="45">
        <v>26.7</v>
      </c>
      <c r="O21" s="45">
        <v>26.7</v>
      </c>
      <c r="P21" s="45">
        <v>26.7</v>
      </c>
      <c r="Q21" s="45">
        <v>26.7</v>
      </c>
      <c r="R21" s="45">
        <v>26.7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21.1</v>
      </c>
      <c r="AF21" s="45">
        <v>21.1</v>
      </c>
      <c r="AG21" s="49">
        <v>24.2</v>
      </c>
      <c r="AH21" s="47">
        <f t="shared" si="2"/>
        <v>33</v>
      </c>
      <c r="AI21" s="48">
        <f t="shared" si="3"/>
        <v>21.1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28.4</v>
      </c>
      <c r="C22" s="45">
        <v>28.4</v>
      </c>
      <c r="D22" s="45">
        <v>28.4</v>
      </c>
      <c r="E22" s="45">
        <v>28.4</v>
      </c>
      <c r="F22" s="45">
        <v>28.4</v>
      </c>
      <c r="G22" s="45">
        <v>28.4</v>
      </c>
      <c r="H22" s="45">
        <v>28.4</v>
      </c>
      <c r="I22" s="45">
        <v>28.4</v>
      </c>
      <c r="J22" s="45">
        <v>28.4</v>
      </c>
      <c r="K22" s="45">
        <v>28.4</v>
      </c>
      <c r="L22" s="45">
        <v>28.4</v>
      </c>
      <c r="M22" s="45">
        <v>28.4</v>
      </c>
      <c r="N22" s="45">
        <v>28.4</v>
      </c>
      <c r="O22" s="45">
        <v>28.4</v>
      </c>
      <c r="P22" s="45">
        <v>28.4</v>
      </c>
      <c r="Q22" s="45">
        <v>28.4</v>
      </c>
      <c r="R22" s="45">
        <v>28.4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20.8</v>
      </c>
      <c r="AF22" s="45">
        <v>20.8</v>
      </c>
      <c r="AG22" s="49">
        <v>28</v>
      </c>
      <c r="AH22" s="47">
        <f t="shared" si="2"/>
        <v>28.5</v>
      </c>
      <c r="AI22" s="48">
        <f t="shared" si="3"/>
        <v>20.8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27</v>
      </c>
      <c r="N23" s="45">
        <v>9</v>
      </c>
      <c r="O23" s="45">
        <v>9</v>
      </c>
      <c r="P23" s="45">
        <v>9</v>
      </c>
      <c r="Q23" s="45">
        <v>9</v>
      </c>
      <c r="R23" s="45">
        <v>9</v>
      </c>
      <c r="S23" s="45">
        <v>9</v>
      </c>
      <c r="T23" s="45">
        <v>9</v>
      </c>
      <c r="U23" s="45">
        <v>9</v>
      </c>
      <c r="V23" s="45">
        <v>22</v>
      </c>
      <c r="W23" s="45">
        <v>22</v>
      </c>
      <c r="X23" s="45">
        <v>22</v>
      </c>
      <c r="Y23" s="45">
        <v>22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4.5</v>
      </c>
      <c r="AF23" s="45">
        <v>13.5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24.3</v>
      </c>
      <c r="D24" s="45">
        <v>24.3</v>
      </c>
      <c r="E24" s="45">
        <v>24.3</v>
      </c>
      <c r="F24" s="45">
        <v>0</v>
      </c>
      <c r="G24" s="45">
        <v>24.8</v>
      </c>
      <c r="H24" s="45">
        <v>24.8</v>
      </c>
      <c r="I24" s="45">
        <v>24.8</v>
      </c>
      <c r="J24" s="45">
        <v>24.3</v>
      </c>
      <c r="K24" s="45">
        <v>24.3</v>
      </c>
      <c r="L24" s="45">
        <v>24.3</v>
      </c>
      <c r="M24" s="45">
        <v>24.3</v>
      </c>
      <c r="N24" s="45">
        <v>24.3</v>
      </c>
      <c r="O24" s="45">
        <v>24.3</v>
      </c>
      <c r="P24" s="45">
        <v>24.3</v>
      </c>
      <c r="Q24" s="45">
        <v>24.3</v>
      </c>
      <c r="R24" s="45">
        <v>24.3</v>
      </c>
      <c r="S24" s="45">
        <v>6.3</v>
      </c>
      <c r="T24" s="45">
        <v>6.3</v>
      </c>
      <c r="U24" s="45">
        <v>6.3</v>
      </c>
      <c r="V24" s="45">
        <v>25.7</v>
      </c>
      <c r="W24" s="45">
        <v>25.7</v>
      </c>
      <c r="X24" s="45">
        <v>25.7</v>
      </c>
      <c r="Y24" s="45">
        <v>25.7</v>
      </c>
      <c r="Z24" s="45">
        <v>25.7</v>
      </c>
      <c r="AA24" s="45">
        <v>25.9</v>
      </c>
      <c r="AB24" s="45">
        <v>25.9</v>
      </c>
      <c r="AC24" s="45">
        <v>25.9</v>
      </c>
      <c r="AD24" s="45">
        <v>25.9</v>
      </c>
      <c r="AE24" s="45">
        <v>24.5</v>
      </c>
      <c r="AF24" s="45">
        <v>24.5</v>
      </c>
      <c r="AG24" s="49">
        <v>25</v>
      </c>
      <c r="AH24" s="47">
        <f t="shared" si="2"/>
        <v>25.9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20</v>
      </c>
      <c r="L27" s="45">
        <v>20</v>
      </c>
      <c r="M27" s="45">
        <v>25</v>
      </c>
      <c r="N27" s="45">
        <v>8</v>
      </c>
      <c r="O27" s="45">
        <v>8</v>
      </c>
      <c r="P27" s="45">
        <v>8</v>
      </c>
      <c r="Q27" s="45">
        <v>8</v>
      </c>
      <c r="R27" s="45">
        <v>8</v>
      </c>
      <c r="S27" s="45">
        <v>8</v>
      </c>
      <c r="T27" s="45">
        <v>8</v>
      </c>
      <c r="U27" s="45">
        <v>8</v>
      </c>
      <c r="V27" s="45">
        <v>20</v>
      </c>
      <c r="W27" s="45">
        <v>20</v>
      </c>
      <c r="X27" s="45">
        <v>20</v>
      </c>
      <c r="Y27" s="45">
        <v>20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4.5</v>
      </c>
      <c r="AF27" s="45">
        <v>12.5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24.7</v>
      </c>
      <c r="C28" s="45">
        <v>24.7</v>
      </c>
      <c r="D28" s="45">
        <v>24.7</v>
      </c>
      <c r="E28" s="45">
        <v>24.7</v>
      </c>
      <c r="F28" s="45">
        <v>24.7</v>
      </c>
      <c r="G28" s="45">
        <v>24.7</v>
      </c>
      <c r="H28" s="45">
        <v>24.7</v>
      </c>
      <c r="I28" s="45">
        <v>24.7</v>
      </c>
      <c r="J28" s="45">
        <v>24.7</v>
      </c>
      <c r="K28" s="45">
        <v>24.7</v>
      </c>
      <c r="L28" s="45">
        <v>24.7</v>
      </c>
      <c r="M28" s="45">
        <v>24.7</v>
      </c>
      <c r="N28" s="45">
        <v>24.7</v>
      </c>
      <c r="O28" s="45">
        <v>24.7</v>
      </c>
      <c r="P28" s="45">
        <v>24.7</v>
      </c>
      <c r="Q28" s="45">
        <v>24.7</v>
      </c>
      <c r="R28" s="45">
        <v>24.7</v>
      </c>
      <c r="S28" s="45">
        <v>24.7</v>
      </c>
      <c r="T28" s="45">
        <v>24.7</v>
      </c>
      <c r="U28" s="45">
        <v>24.7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10</v>
      </c>
      <c r="W33" s="45">
        <v>10</v>
      </c>
      <c r="X33" s="45">
        <v>10</v>
      </c>
      <c r="Y33" s="45">
        <v>10</v>
      </c>
      <c r="Z33" s="45">
        <v>15</v>
      </c>
      <c r="AA33" s="45">
        <v>20</v>
      </c>
      <c r="AB33" s="45">
        <v>20</v>
      </c>
      <c r="AC33" s="45">
        <v>20</v>
      </c>
      <c r="AD33" s="45">
        <v>20</v>
      </c>
      <c r="AE33" s="45">
        <v>5</v>
      </c>
      <c r="AF33" s="45">
        <v>5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5</v>
      </c>
      <c r="W34" s="45">
        <v>5</v>
      </c>
      <c r="X34" s="45">
        <v>5</v>
      </c>
      <c r="Y34" s="45">
        <v>5</v>
      </c>
      <c r="Z34" s="45">
        <v>9</v>
      </c>
      <c r="AA34" s="45">
        <v>9</v>
      </c>
      <c r="AB34" s="45">
        <v>9</v>
      </c>
      <c r="AC34" s="45">
        <v>9</v>
      </c>
      <c r="AD34" s="45">
        <v>9</v>
      </c>
      <c r="AE34" s="45">
        <v>4</v>
      </c>
      <c r="AF34" s="45">
        <v>4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15.33</v>
      </c>
      <c r="C35" s="45">
        <v>15.33</v>
      </c>
      <c r="D35" s="45">
        <v>15.33</v>
      </c>
      <c r="E35" s="45">
        <v>15.33</v>
      </c>
      <c r="F35" s="45">
        <v>15.33</v>
      </c>
      <c r="G35" s="45">
        <v>15.33</v>
      </c>
      <c r="H35" s="45">
        <v>15.33</v>
      </c>
      <c r="I35" s="45">
        <v>15.33</v>
      </c>
      <c r="J35" s="45">
        <v>15.33</v>
      </c>
      <c r="K35" s="45">
        <v>15.33</v>
      </c>
      <c r="L35" s="45">
        <v>15.33</v>
      </c>
      <c r="M35" s="45">
        <v>15.33</v>
      </c>
      <c r="N35" s="45">
        <v>15.33</v>
      </c>
      <c r="O35" s="45">
        <v>15.33</v>
      </c>
      <c r="P35" s="45">
        <v>15.33</v>
      </c>
      <c r="Q35" s="45">
        <v>15.33</v>
      </c>
      <c r="R35" s="45">
        <v>15.33</v>
      </c>
      <c r="S35" s="45">
        <v>15.33</v>
      </c>
      <c r="T35" s="45">
        <v>15.33</v>
      </c>
      <c r="U35" s="45">
        <v>15.33</v>
      </c>
      <c r="V35" s="45">
        <v>15.33</v>
      </c>
      <c r="W35" s="45">
        <v>15.33</v>
      </c>
      <c r="X35" s="45">
        <v>15.33</v>
      </c>
      <c r="Y35" s="45">
        <v>15.33</v>
      </c>
      <c r="Z35" s="45">
        <v>15.33</v>
      </c>
      <c r="AA35" s="45">
        <v>15.33</v>
      </c>
      <c r="AB35" s="45">
        <v>15.33</v>
      </c>
      <c r="AC35" s="45">
        <v>15.33</v>
      </c>
      <c r="AD35" s="45">
        <v>15.33</v>
      </c>
      <c r="AE35" s="45">
        <v>15.33</v>
      </c>
      <c r="AF35" s="45">
        <v>15.33</v>
      </c>
      <c r="AG35" s="49">
        <v>14.9</v>
      </c>
      <c r="AH35" s="47">
        <f t="shared" si="2"/>
        <v>15.33</v>
      </c>
      <c r="AI35" s="48">
        <f t="shared" si="3"/>
        <v>15.33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5</v>
      </c>
      <c r="T38" s="45">
        <v>5</v>
      </c>
      <c r="U38" s="45">
        <v>5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5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f>0.8*12</f>
        <v>9.6000000000000014</v>
      </c>
      <c r="L39" s="45">
        <f>0.8*12</f>
        <v>9.6000000000000014</v>
      </c>
      <c r="M39" s="45">
        <v>9.6000000000000014</v>
      </c>
      <c r="N39" s="45">
        <v>3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9</v>
      </c>
      <c r="C43" s="45">
        <v>9</v>
      </c>
      <c r="D43" s="45">
        <v>9</v>
      </c>
      <c r="E43" s="45">
        <v>9</v>
      </c>
      <c r="F43" s="45">
        <v>9</v>
      </c>
      <c r="G43" s="45">
        <v>9</v>
      </c>
      <c r="H43" s="45">
        <v>9</v>
      </c>
      <c r="I43" s="45">
        <v>9</v>
      </c>
      <c r="J43" s="45">
        <v>7</v>
      </c>
      <c r="K43" s="45">
        <v>7</v>
      </c>
      <c r="L43" s="45">
        <v>7</v>
      </c>
      <c r="M43" s="45">
        <v>7</v>
      </c>
      <c r="N43" s="45">
        <v>7</v>
      </c>
      <c r="O43" s="45">
        <v>7</v>
      </c>
      <c r="P43" s="45">
        <v>7</v>
      </c>
      <c r="Q43" s="45">
        <v>7</v>
      </c>
      <c r="R43" s="45">
        <v>7</v>
      </c>
      <c r="S43" s="45">
        <v>7</v>
      </c>
      <c r="T43" s="45">
        <v>7</v>
      </c>
      <c r="U43" s="45">
        <v>7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7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0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f>32.5+85.1</f>
        <v>117.6</v>
      </c>
      <c r="C49" s="56">
        <f>25.3+69</f>
        <v>94.3</v>
      </c>
      <c r="D49" s="56">
        <f>33.7+79.7</f>
        <v>113.4</v>
      </c>
      <c r="E49" s="58">
        <f>86.7+35.6</f>
        <v>122.30000000000001</v>
      </c>
      <c r="F49" s="58">
        <f>87.7+35.9</f>
        <v>123.6</v>
      </c>
      <c r="G49" s="58">
        <f>87.7+35.9</f>
        <v>123.6</v>
      </c>
      <c r="H49" s="58">
        <f>79.6+27.3</f>
        <v>106.89999999999999</v>
      </c>
      <c r="I49" s="58">
        <v>105</v>
      </c>
      <c r="J49" s="58">
        <f>76.1+23.1</f>
        <v>99.199999999999989</v>
      </c>
      <c r="K49" s="58">
        <f>85.6+34.7</f>
        <v>120.3</v>
      </c>
      <c r="L49" s="58">
        <f>85.6+34.7</f>
        <v>120.3</v>
      </c>
      <c r="M49" s="58">
        <v>120.3</v>
      </c>
      <c r="N49" s="58">
        <v>120.3</v>
      </c>
      <c r="O49" s="58">
        <v>120.3</v>
      </c>
      <c r="P49" s="58">
        <v>120.3</v>
      </c>
      <c r="Q49" s="58">
        <v>120.3</v>
      </c>
      <c r="R49" s="58">
        <v>120.3</v>
      </c>
      <c r="S49" s="58">
        <v>110.4</v>
      </c>
      <c r="T49" s="58">
        <v>110.4</v>
      </c>
      <c r="U49" s="58">
        <v>110.4</v>
      </c>
      <c r="V49" s="58">
        <v>110.4</v>
      </c>
      <c r="W49" s="58">
        <v>110.4</v>
      </c>
      <c r="X49" s="58">
        <v>120</v>
      </c>
      <c r="Y49" s="58">
        <f>34.9+84.8</f>
        <v>119.69999999999999</v>
      </c>
      <c r="Z49" s="58">
        <f>34.9+84.8</f>
        <v>119.69999999999999</v>
      </c>
      <c r="AA49" s="58">
        <f>34.9+84.8</f>
        <v>119.69999999999999</v>
      </c>
      <c r="AB49" s="58">
        <f>34.9+84.8</f>
        <v>119.69999999999999</v>
      </c>
      <c r="AC49" s="56">
        <v>115</v>
      </c>
      <c r="AD49" s="56">
        <v>115</v>
      </c>
      <c r="AE49" s="56">
        <v>121</v>
      </c>
      <c r="AF49" s="56">
        <v>121</v>
      </c>
      <c r="AG49" s="54">
        <v>240</v>
      </c>
      <c r="AH49" s="47">
        <f t="shared" si="2"/>
        <v>123.6</v>
      </c>
      <c r="AI49" s="48">
        <f t="shared" si="3"/>
        <v>94.3</v>
      </c>
      <c r="AK49" s="50"/>
    </row>
    <row r="50" spans="1:41" ht="15.75" thickBot="1" x14ac:dyDescent="0.3">
      <c r="A50" s="59" t="s">
        <v>58</v>
      </c>
      <c r="B50" s="60">
        <f>SUM(B11:B48)</f>
        <v>1096.99</v>
      </c>
      <c r="C50" s="60">
        <f>SUM(C11:C48)</f>
        <v>1096.79</v>
      </c>
      <c r="D50" s="60">
        <f>SUM(D11:D48)</f>
        <v>1096.5900000000001</v>
      </c>
      <c r="E50" s="60">
        <f t="shared" ref="E50:AF50" si="4">SUM(E11:E48)</f>
        <v>1090.69</v>
      </c>
      <c r="F50" s="60">
        <f t="shared" si="4"/>
        <v>984.49</v>
      </c>
      <c r="G50" s="60">
        <f t="shared" si="4"/>
        <v>1084.3899999999999</v>
      </c>
      <c r="H50" s="60">
        <f t="shared" si="4"/>
        <v>1084.3899999999999</v>
      </c>
      <c r="I50" s="60">
        <f t="shared" si="4"/>
        <v>1084.3899999999999</v>
      </c>
      <c r="J50" s="60">
        <f t="shared" si="4"/>
        <v>1072.5900000000001</v>
      </c>
      <c r="K50" s="60">
        <f t="shared" si="4"/>
        <v>1107.49</v>
      </c>
      <c r="L50" s="60">
        <f t="shared" si="4"/>
        <v>1107.49</v>
      </c>
      <c r="M50" s="60">
        <f t="shared" si="4"/>
        <v>1149.0900000000001</v>
      </c>
      <c r="N50" s="60">
        <f t="shared" si="4"/>
        <v>1083.49</v>
      </c>
      <c r="O50" s="60">
        <f t="shared" si="4"/>
        <v>1091.49</v>
      </c>
      <c r="P50" s="60">
        <f t="shared" si="4"/>
        <v>1091.49</v>
      </c>
      <c r="Q50" s="60">
        <f t="shared" si="4"/>
        <v>1091.49</v>
      </c>
      <c r="R50" s="60">
        <f t="shared" si="4"/>
        <v>1091.49</v>
      </c>
      <c r="S50" s="60">
        <f t="shared" si="4"/>
        <v>1046.0300000000002</v>
      </c>
      <c r="T50" s="60">
        <f t="shared" si="4"/>
        <v>1046.0300000000002</v>
      </c>
      <c r="U50" s="60">
        <f t="shared" si="4"/>
        <v>1063.73</v>
      </c>
      <c r="V50" s="60">
        <f t="shared" si="4"/>
        <v>1208.43</v>
      </c>
      <c r="W50" s="60">
        <f t="shared" si="4"/>
        <v>1208.3300000000002</v>
      </c>
      <c r="X50" s="60">
        <f t="shared" si="4"/>
        <v>1208.3300000000002</v>
      </c>
      <c r="Y50" s="60">
        <f t="shared" si="4"/>
        <v>1208.3300000000002</v>
      </c>
      <c r="Z50" s="60">
        <f t="shared" si="4"/>
        <v>1238.1300000000001</v>
      </c>
      <c r="AA50" s="60">
        <f t="shared" si="4"/>
        <v>1243.6300000000001</v>
      </c>
      <c r="AB50" s="60">
        <f t="shared" si="4"/>
        <v>1243.6300000000001</v>
      </c>
      <c r="AC50" s="60">
        <f t="shared" si="4"/>
        <v>1234.6300000000001</v>
      </c>
      <c r="AD50" s="60">
        <f t="shared" si="4"/>
        <v>1234.6300000000001</v>
      </c>
      <c r="AE50" s="60">
        <f t="shared" si="4"/>
        <v>1121.33</v>
      </c>
      <c r="AF50" s="60">
        <f t="shared" si="4"/>
        <v>1147.6300000000001</v>
      </c>
      <c r="AG50" s="61">
        <f>SUM(AG13:AG48)</f>
        <v>922.14</v>
      </c>
      <c r="AH50" s="47">
        <f t="shared" si="2"/>
        <v>1243.6300000000001</v>
      </c>
      <c r="AI50" s="48">
        <f t="shared" si="3"/>
        <v>984.49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55</v>
      </c>
      <c r="AF52" s="64">
        <v>55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>SUM(B51:B53)</f>
        <v>538.4</v>
      </c>
      <c r="C54" s="60">
        <f>SUM(C51:C53)</f>
        <v>538.4</v>
      </c>
      <c r="D54" s="60">
        <f>SUM(D51:D53)</f>
        <v>538.4</v>
      </c>
      <c r="E54" s="60">
        <f t="shared" ref="E54:AG54" si="5">SUM(E51:E53)</f>
        <v>538.4</v>
      </c>
      <c r="F54" s="60">
        <f t="shared" si="5"/>
        <v>538.4</v>
      </c>
      <c r="G54" s="60">
        <f t="shared" si="5"/>
        <v>538.4</v>
      </c>
      <c r="H54" s="60">
        <f t="shared" si="5"/>
        <v>538.4</v>
      </c>
      <c r="I54" s="60">
        <f t="shared" si="5"/>
        <v>538.4</v>
      </c>
      <c r="J54" s="60">
        <f t="shared" si="5"/>
        <v>538.4</v>
      </c>
      <c r="K54" s="60">
        <f t="shared" si="5"/>
        <v>538.4</v>
      </c>
      <c r="L54" s="60">
        <f t="shared" si="5"/>
        <v>538.4</v>
      </c>
      <c r="M54" s="60">
        <f t="shared" si="5"/>
        <v>538.4</v>
      </c>
      <c r="N54" s="60">
        <f t="shared" si="5"/>
        <v>538.4</v>
      </c>
      <c r="O54" s="60">
        <f t="shared" si="5"/>
        <v>538.4</v>
      </c>
      <c r="P54" s="60">
        <f t="shared" si="5"/>
        <v>538.4</v>
      </c>
      <c r="Q54" s="60">
        <f t="shared" si="5"/>
        <v>538.4</v>
      </c>
      <c r="R54" s="60">
        <f t="shared" si="5"/>
        <v>538.4</v>
      </c>
      <c r="S54" s="60">
        <f t="shared" si="5"/>
        <v>538.4</v>
      </c>
      <c r="T54" s="60">
        <f t="shared" si="5"/>
        <v>538.4</v>
      </c>
      <c r="U54" s="60">
        <f t="shared" si="5"/>
        <v>538.4</v>
      </c>
      <c r="V54" s="60">
        <f t="shared" si="5"/>
        <v>538.4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 t="shared" si="5"/>
        <v>538.4</v>
      </c>
      <c r="AC54" s="60">
        <f t="shared" si="5"/>
        <v>538.4</v>
      </c>
      <c r="AD54" s="60">
        <f t="shared" si="5"/>
        <v>538.4</v>
      </c>
      <c r="AE54" s="60">
        <f t="shared" si="5"/>
        <v>533.4</v>
      </c>
      <c r="AF54" s="60">
        <f t="shared" si="5"/>
        <v>533.4</v>
      </c>
      <c r="AG54" s="61">
        <f t="shared" si="5"/>
        <v>538.1</v>
      </c>
      <c r="AH54" s="47">
        <f t="shared" si="2"/>
        <v>538.4</v>
      </c>
      <c r="AI54" s="48">
        <f t="shared" si="3"/>
        <v>533.4</v>
      </c>
      <c r="AK54" s="50"/>
    </row>
    <row r="55" spans="1:41" x14ac:dyDescent="0.25">
      <c r="A55" s="44" t="s">
        <v>63</v>
      </c>
      <c r="B55" s="45">
        <v>127.4</v>
      </c>
      <c r="C55" s="45">
        <v>117.3</v>
      </c>
      <c r="D55" s="45">
        <v>117.3</v>
      </c>
      <c r="E55" s="45">
        <v>111.2</v>
      </c>
      <c r="F55" s="45">
        <v>135</v>
      </c>
      <c r="G55" s="45">
        <v>135</v>
      </c>
      <c r="H55" s="45">
        <v>135</v>
      </c>
      <c r="I55" s="45">
        <v>135</v>
      </c>
      <c r="J55" s="45">
        <v>135</v>
      </c>
      <c r="K55" s="45">
        <v>135</v>
      </c>
      <c r="L55" s="45">
        <v>135</v>
      </c>
      <c r="M55" s="45">
        <v>124.5</v>
      </c>
      <c r="N55" s="45">
        <v>124.5</v>
      </c>
      <c r="O55" s="45">
        <v>124.5</v>
      </c>
      <c r="P55" s="45">
        <v>134</v>
      </c>
      <c r="Q55" s="45">
        <v>134</v>
      </c>
      <c r="R55" s="45">
        <v>134</v>
      </c>
      <c r="S55" s="45">
        <v>136.6</v>
      </c>
      <c r="T55" s="45">
        <v>136.6</v>
      </c>
      <c r="U55" s="45">
        <v>136.6</v>
      </c>
      <c r="V55" s="45">
        <v>137.19999999999999</v>
      </c>
      <c r="W55" s="45">
        <v>136.9</v>
      </c>
      <c r="X55" s="45">
        <v>136.9</v>
      </c>
      <c r="Y55" s="45">
        <v>136.80000000000001</v>
      </c>
      <c r="Z55" s="45">
        <v>136.80000000000001</v>
      </c>
      <c r="AA55" s="45">
        <v>136.80000000000001</v>
      </c>
      <c r="AB55" s="45">
        <v>136.80000000000001</v>
      </c>
      <c r="AC55" s="45">
        <v>136.80000000000001</v>
      </c>
      <c r="AD55" s="45">
        <v>136.80000000000001</v>
      </c>
      <c r="AE55" s="45">
        <v>136.80000000000001</v>
      </c>
      <c r="AF55" s="45">
        <v>136.80000000000001</v>
      </c>
      <c r="AG55" s="51">
        <v>144</v>
      </c>
      <c r="AH55" s="47">
        <f t="shared" si="2"/>
        <v>137.19999999999999</v>
      </c>
      <c r="AI55" s="48">
        <f t="shared" si="3"/>
        <v>111.2</v>
      </c>
      <c r="AK55" s="50"/>
    </row>
    <row r="56" spans="1:41" x14ac:dyDescent="0.25">
      <c r="A56" s="53" t="s">
        <v>64</v>
      </c>
      <c r="B56" s="45">
        <v>69.599999999999994</v>
      </c>
      <c r="C56" s="45">
        <v>55.7</v>
      </c>
      <c r="D56" s="45">
        <v>54.7</v>
      </c>
      <c r="E56" s="45">
        <v>55.9</v>
      </c>
      <c r="F56" s="64">
        <v>69.599999999999994</v>
      </c>
      <c r="G56" s="64">
        <v>69.599999999999994</v>
      </c>
      <c r="H56" s="64">
        <v>69.599999999999994</v>
      </c>
      <c r="I56" s="64">
        <v>69.599999999999994</v>
      </c>
      <c r="J56" s="64">
        <v>69.599999999999994</v>
      </c>
      <c r="K56" s="64">
        <v>69.599999999999994</v>
      </c>
      <c r="L56" s="64">
        <v>69.599999999999994</v>
      </c>
      <c r="M56" s="64">
        <v>69.599999999999994</v>
      </c>
      <c r="N56" s="64">
        <v>69.599999999999994</v>
      </c>
      <c r="O56" s="64">
        <v>69.599999999999994</v>
      </c>
      <c r="P56" s="64">
        <v>69.599999999999994</v>
      </c>
      <c r="Q56" s="64">
        <v>69.599999999999994</v>
      </c>
      <c r="R56" s="64">
        <v>69.599999999999994</v>
      </c>
      <c r="S56" s="45">
        <v>68.5</v>
      </c>
      <c r="T56" s="45">
        <v>68.5</v>
      </c>
      <c r="U56" s="45">
        <v>68.5</v>
      </c>
      <c r="V56" s="45">
        <v>70</v>
      </c>
      <c r="W56" s="45">
        <v>69.3</v>
      </c>
      <c r="X56" s="45">
        <v>69.3</v>
      </c>
      <c r="Y56" s="45">
        <v>69.400000000000006</v>
      </c>
      <c r="Z56" s="45">
        <v>69.400000000000006</v>
      </c>
      <c r="AA56" s="45">
        <v>69.400000000000006</v>
      </c>
      <c r="AB56" s="45">
        <v>69.400000000000006</v>
      </c>
      <c r="AC56" s="45">
        <v>69.400000000000006</v>
      </c>
      <c r="AD56" s="45">
        <v>68</v>
      </c>
      <c r="AE56" s="45">
        <v>68</v>
      </c>
      <c r="AF56" s="45">
        <v>68</v>
      </c>
      <c r="AG56" s="54">
        <v>70</v>
      </c>
      <c r="AH56" s="47">
        <f t="shared" si="2"/>
        <v>70</v>
      </c>
      <c r="AI56" s="48">
        <f t="shared" si="3"/>
        <v>54.7</v>
      </c>
      <c r="AK56" s="50"/>
    </row>
    <row r="57" spans="1:41" x14ac:dyDescent="0.25">
      <c r="A57" s="53" t="s">
        <v>65</v>
      </c>
      <c r="B57" s="45">
        <v>56.2</v>
      </c>
      <c r="C57" s="45">
        <v>65.2</v>
      </c>
      <c r="D57" s="45">
        <v>65.2</v>
      </c>
      <c r="E57" s="45">
        <v>55.3</v>
      </c>
      <c r="F57" s="64">
        <v>55.3</v>
      </c>
      <c r="G57" s="64">
        <v>55.3</v>
      </c>
      <c r="H57" s="64">
        <v>55.3</v>
      </c>
      <c r="I57" s="64">
        <v>55.3</v>
      </c>
      <c r="J57" s="64">
        <v>64.599999999999994</v>
      </c>
      <c r="K57" s="64">
        <v>64.599999999999994</v>
      </c>
      <c r="L57" s="64">
        <v>64.599999999999994</v>
      </c>
      <c r="M57" s="64">
        <v>65</v>
      </c>
      <c r="N57" s="64">
        <v>65</v>
      </c>
      <c r="O57" s="64">
        <v>69</v>
      </c>
      <c r="P57" s="64">
        <v>63</v>
      </c>
      <c r="Q57" s="64">
        <v>63</v>
      </c>
      <c r="R57" s="64">
        <v>63</v>
      </c>
      <c r="S57" s="45">
        <v>61.6</v>
      </c>
      <c r="T57" s="45">
        <v>61.6</v>
      </c>
      <c r="U57" s="45">
        <v>61.6</v>
      </c>
      <c r="V57" s="45">
        <v>44.7</v>
      </c>
      <c r="W57" s="45">
        <v>40.200000000000003</v>
      </c>
      <c r="X57" s="45">
        <v>55.5</v>
      </c>
      <c r="Y57" s="45">
        <v>64.2</v>
      </c>
      <c r="Z57" s="45">
        <v>64.2</v>
      </c>
      <c r="AA57" s="45">
        <v>64.2</v>
      </c>
      <c r="AB57" s="45">
        <v>64.2</v>
      </c>
      <c r="AC57" s="45">
        <v>64.2</v>
      </c>
      <c r="AD57" s="45">
        <v>64.2</v>
      </c>
      <c r="AE57" s="45">
        <v>64.2</v>
      </c>
      <c r="AF57" s="45">
        <v>64.2</v>
      </c>
      <c r="AG57" s="54">
        <v>69</v>
      </c>
      <c r="AH57" s="47">
        <f t="shared" si="2"/>
        <v>69</v>
      </c>
      <c r="AI57" s="48">
        <f t="shared" si="3"/>
        <v>40.200000000000003</v>
      </c>
      <c r="AK57" s="50"/>
    </row>
    <row r="58" spans="1:41" x14ac:dyDescent="0.25">
      <c r="A58" s="53" t="s">
        <v>66</v>
      </c>
      <c r="B58" s="45">
        <v>53.5</v>
      </c>
      <c r="C58" s="45">
        <v>53.2</v>
      </c>
      <c r="D58" s="45">
        <v>52.9</v>
      </c>
      <c r="E58" s="45">
        <v>52.9</v>
      </c>
      <c r="F58" s="56">
        <v>60</v>
      </c>
      <c r="G58" s="56">
        <v>60</v>
      </c>
      <c r="H58" s="56">
        <v>60</v>
      </c>
      <c r="I58" s="56">
        <v>60</v>
      </c>
      <c r="J58" s="56">
        <v>60</v>
      </c>
      <c r="K58" s="56">
        <v>60</v>
      </c>
      <c r="L58" s="56">
        <v>60</v>
      </c>
      <c r="M58" s="56">
        <v>30</v>
      </c>
      <c r="N58" s="56">
        <v>30</v>
      </c>
      <c r="O58" s="56">
        <v>30</v>
      </c>
      <c r="P58" s="56">
        <v>60</v>
      </c>
      <c r="Q58" s="56">
        <v>60</v>
      </c>
      <c r="R58" s="56">
        <v>60</v>
      </c>
      <c r="S58" s="45">
        <v>59.7</v>
      </c>
      <c r="T58" s="45">
        <v>59.7</v>
      </c>
      <c r="U58" s="45">
        <v>59.7</v>
      </c>
      <c r="V58" s="45">
        <v>58.5</v>
      </c>
      <c r="W58" s="45">
        <v>60.7</v>
      </c>
      <c r="X58" s="45">
        <v>60.7</v>
      </c>
      <c r="Y58" s="45">
        <v>61</v>
      </c>
      <c r="Z58" s="45">
        <v>61</v>
      </c>
      <c r="AA58" s="45">
        <v>61</v>
      </c>
      <c r="AB58" s="45">
        <v>61</v>
      </c>
      <c r="AC58" s="45">
        <v>61</v>
      </c>
      <c r="AD58" s="45">
        <v>61</v>
      </c>
      <c r="AE58" s="45">
        <v>61</v>
      </c>
      <c r="AF58" s="45">
        <v>61</v>
      </c>
      <c r="AG58" s="54">
        <v>60</v>
      </c>
      <c r="AH58" s="47">
        <f t="shared" si="2"/>
        <v>61</v>
      </c>
      <c r="AI58" s="48">
        <f t="shared" si="3"/>
        <v>30</v>
      </c>
      <c r="AK58" s="50"/>
    </row>
    <row r="59" spans="1:41" x14ac:dyDescent="0.25">
      <c r="A59" s="53" t="s">
        <v>67</v>
      </c>
      <c r="B59" s="45">
        <v>30</v>
      </c>
      <c r="C59" s="45">
        <v>30</v>
      </c>
      <c r="D59" s="45">
        <v>30</v>
      </c>
      <c r="E59" s="45">
        <v>30</v>
      </c>
      <c r="F59" s="45">
        <v>30</v>
      </c>
      <c r="G59" s="45">
        <v>30</v>
      </c>
      <c r="H59" s="45">
        <v>30</v>
      </c>
      <c r="I59" s="45">
        <v>30</v>
      </c>
      <c r="J59" s="45">
        <v>30</v>
      </c>
      <c r="K59" s="45">
        <v>30</v>
      </c>
      <c r="L59" s="45">
        <v>30</v>
      </c>
      <c r="M59" s="45">
        <v>30</v>
      </c>
      <c r="N59" s="45">
        <v>30</v>
      </c>
      <c r="O59" s="45">
        <v>30</v>
      </c>
      <c r="P59" s="45">
        <v>30</v>
      </c>
      <c r="Q59" s="45">
        <v>30</v>
      </c>
      <c r="R59" s="45">
        <v>30</v>
      </c>
      <c r="S59" s="45">
        <v>30</v>
      </c>
      <c r="T59" s="45">
        <v>28</v>
      </c>
      <c r="U59" s="45">
        <v>28</v>
      </c>
      <c r="V59" s="45">
        <v>28</v>
      </c>
      <c r="W59" s="45">
        <v>28</v>
      </c>
      <c r="X59" s="45">
        <v>28</v>
      </c>
      <c r="Y59" s="45">
        <v>28</v>
      </c>
      <c r="Z59" s="45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30</v>
      </c>
      <c r="AI59" s="48">
        <f t="shared" si="3"/>
        <v>28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14.4</v>
      </c>
      <c r="T60" s="45">
        <v>13.7</v>
      </c>
      <c r="U60" s="45">
        <v>5</v>
      </c>
      <c r="V60" s="45">
        <v>2.7</v>
      </c>
      <c r="W60" s="45">
        <v>1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14.4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0</v>
      </c>
      <c r="C61" s="64">
        <v>0</v>
      </c>
      <c r="D61" s="64">
        <v>0</v>
      </c>
      <c r="E61" s="64">
        <v>0</v>
      </c>
      <c r="F61" s="64">
        <v>0</v>
      </c>
      <c r="G61" s="64">
        <v>0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64">
        <v>0</v>
      </c>
      <c r="N61" s="64">
        <v>0</v>
      </c>
      <c r="O61" s="64">
        <v>0</v>
      </c>
      <c r="P61" s="64">
        <v>0</v>
      </c>
      <c r="Q61" s="64">
        <v>0</v>
      </c>
      <c r="R61" s="64">
        <v>0</v>
      </c>
      <c r="S61" s="64">
        <v>0</v>
      </c>
      <c r="T61" s="64">
        <v>0</v>
      </c>
      <c r="U61" s="64">
        <v>0</v>
      </c>
      <c r="V61" s="64">
        <v>0</v>
      </c>
      <c r="W61" s="64">
        <v>0</v>
      </c>
      <c r="X61" s="64">
        <v>0</v>
      </c>
      <c r="Y61" s="64">
        <v>0</v>
      </c>
      <c r="Z61" s="64">
        <v>0</v>
      </c>
      <c r="AA61" s="6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54">
        <v>24</v>
      </c>
      <c r="AH61" s="47">
        <f t="shared" si="2"/>
        <v>0</v>
      </c>
      <c r="AI61" s="48">
        <f t="shared" si="3"/>
        <v>0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0</v>
      </c>
      <c r="C63" s="64">
        <v>0</v>
      </c>
      <c r="D63" s="64">
        <v>0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64">
        <v>0</v>
      </c>
      <c r="N63" s="64">
        <v>0</v>
      </c>
      <c r="O63" s="64">
        <v>0</v>
      </c>
      <c r="P63" s="64">
        <v>0</v>
      </c>
      <c r="Q63" s="64">
        <v>0</v>
      </c>
      <c r="R63" s="64">
        <v>0</v>
      </c>
      <c r="S63" s="64">
        <v>0</v>
      </c>
      <c r="T63" s="64">
        <v>0</v>
      </c>
      <c r="U63" s="64">
        <v>0</v>
      </c>
      <c r="V63" s="64">
        <v>0</v>
      </c>
      <c r="W63" s="64">
        <v>0</v>
      </c>
      <c r="X63" s="64">
        <v>0</v>
      </c>
      <c r="Y63" s="64">
        <v>0</v>
      </c>
      <c r="Z63" s="64">
        <v>0</v>
      </c>
      <c r="AA63" s="6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54">
        <v>14.1</v>
      </c>
      <c r="AH63" s="47">
        <f t="shared" si="2"/>
        <v>0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14</v>
      </c>
      <c r="F64" s="64">
        <v>14</v>
      </c>
      <c r="G64" s="64">
        <v>14</v>
      </c>
      <c r="H64" s="64">
        <v>0</v>
      </c>
      <c r="I64" s="64">
        <v>7</v>
      </c>
      <c r="J64" s="64">
        <v>0</v>
      </c>
      <c r="K64" s="64">
        <v>0</v>
      </c>
      <c r="L64" s="64">
        <v>0</v>
      </c>
      <c r="M64" s="64">
        <v>0</v>
      </c>
      <c r="N64" s="64">
        <v>0</v>
      </c>
      <c r="O64" s="64">
        <v>0</v>
      </c>
      <c r="P64" s="64">
        <v>0</v>
      </c>
      <c r="Q64" s="64">
        <v>0</v>
      </c>
      <c r="R64" s="64">
        <v>0</v>
      </c>
      <c r="S64" s="64">
        <v>6.8</v>
      </c>
      <c r="T64" s="64">
        <v>8.1</v>
      </c>
      <c r="U64" s="64">
        <v>8.1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0</v>
      </c>
      <c r="AE64" s="64">
        <v>0</v>
      </c>
      <c r="AF64" s="64">
        <v>0</v>
      </c>
      <c r="AG64" s="54">
        <v>14</v>
      </c>
      <c r="AH64" s="47">
        <f t="shared" si="2"/>
        <v>14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374.64</v>
      </c>
      <c r="C68" s="60">
        <f>SUM(C55:C67)</f>
        <v>359.34</v>
      </c>
      <c r="D68" s="60">
        <f>SUM(D55:D67)</f>
        <v>358.03999999999996</v>
      </c>
      <c r="E68" s="60">
        <f t="shared" ref="E68:AG68" si="6">SUM(E55:E67)</f>
        <v>343.23999999999995</v>
      </c>
      <c r="F68" s="60">
        <f t="shared" si="6"/>
        <v>387.84</v>
      </c>
      <c r="G68" s="60">
        <f t="shared" si="6"/>
        <v>387.84</v>
      </c>
      <c r="H68" s="60">
        <f t="shared" si="6"/>
        <v>373.84</v>
      </c>
      <c r="I68" s="60">
        <f t="shared" si="6"/>
        <v>380.84</v>
      </c>
      <c r="J68" s="60">
        <f t="shared" si="6"/>
        <v>383.14</v>
      </c>
      <c r="K68" s="60">
        <f t="shared" si="6"/>
        <v>383.14</v>
      </c>
      <c r="L68" s="60">
        <f t="shared" si="6"/>
        <v>383.14</v>
      </c>
      <c r="M68" s="60">
        <f t="shared" si="6"/>
        <v>343.04</v>
      </c>
      <c r="N68" s="60">
        <f t="shared" si="6"/>
        <v>343.04</v>
      </c>
      <c r="O68" s="60">
        <f t="shared" si="6"/>
        <v>347.04</v>
      </c>
      <c r="P68" s="60">
        <f t="shared" si="6"/>
        <v>380.54</v>
      </c>
      <c r="Q68" s="60">
        <f t="shared" si="6"/>
        <v>380.54</v>
      </c>
      <c r="R68" s="60">
        <f t="shared" si="6"/>
        <v>380.54</v>
      </c>
      <c r="S68" s="60">
        <f t="shared" si="6"/>
        <v>401.53999999999996</v>
      </c>
      <c r="T68" s="60">
        <f t="shared" si="6"/>
        <v>400.14</v>
      </c>
      <c r="U68" s="60">
        <f t="shared" si="6"/>
        <v>391.44</v>
      </c>
      <c r="V68" s="60">
        <f t="shared" si="6"/>
        <v>379.03999999999996</v>
      </c>
      <c r="W68" s="60">
        <f t="shared" si="6"/>
        <v>374.03999999999996</v>
      </c>
      <c r="X68" s="60">
        <f t="shared" si="6"/>
        <v>388.34</v>
      </c>
      <c r="Y68" s="60">
        <f t="shared" si="6"/>
        <v>397.34000000000003</v>
      </c>
      <c r="Z68" s="60">
        <f t="shared" si="6"/>
        <v>397.34000000000003</v>
      </c>
      <c r="AA68" s="60">
        <f t="shared" si="6"/>
        <v>397.34000000000003</v>
      </c>
      <c r="AB68" s="60">
        <f t="shared" si="6"/>
        <v>397.34000000000003</v>
      </c>
      <c r="AC68" s="60">
        <f t="shared" si="6"/>
        <v>397.34000000000003</v>
      </c>
      <c r="AD68" s="60">
        <f t="shared" si="6"/>
        <v>381.94</v>
      </c>
      <c r="AE68" s="60">
        <f t="shared" si="6"/>
        <v>381.94</v>
      </c>
      <c r="AF68" s="60">
        <f t="shared" si="6"/>
        <v>381.94</v>
      </c>
      <c r="AG68" s="61">
        <f t="shared" si="6"/>
        <v>489.91</v>
      </c>
      <c r="AH68" s="47">
        <f t="shared" si="2"/>
        <v>401.53999999999996</v>
      </c>
      <c r="AI68" s="48">
        <f t="shared" si="3"/>
        <v>343.04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30</v>
      </c>
      <c r="T69" s="45">
        <v>10</v>
      </c>
      <c r="U69" s="45">
        <v>10</v>
      </c>
      <c r="V69" s="45">
        <v>0</v>
      </c>
      <c r="W69" s="45">
        <v>0</v>
      </c>
      <c r="X69" s="45">
        <v>0</v>
      </c>
      <c r="Y69" s="45">
        <v>0</v>
      </c>
      <c r="Z69" s="45">
        <v>30</v>
      </c>
      <c r="AA69" s="45">
        <v>14</v>
      </c>
      <c r="AB69" s="45">
        <v>0</v>
      </c>
      <c r="AC69" s="45"/>
      <c r="AD69" s="45"/>
      <c r="AE69" s="45"/>
      <c r="AF69" s="45"/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15</v>
      </c>
      <c r="T70" s="64">
        <v>6.7</v>
      </c>
      <c r="U70" s="64">
        <v>6.7</v>
      </c>
      <c r="V70" s="64">
        <v>0</v>
      </c>
      <c r="W70" s="64">
        <v>0</v>
      </c>
      <c r="X70" s="64">
        <v>0</v>
      </c>
      <c r="Y70" s="64">
        <v>0</v>
      </c>
      <c r="Z70" s="64">
        <v>10.5</v>
      </c>
      <c r="AA70" s="64">
        <v>7</v>
      </c>
      <c r="AB70" s="64">
        <v>0</v>
      </c>
      <c r="AC70" s="64"/>
      <c r="AD70" s="64"/>
      <c r="AE70" s="64"/>
      <c r="AF70" s="64"/>
      <c r="AG70" s="54">
        <v>32</v>
      </c>
      <c r="AH70" s="47">
        <f t="shared" si="2"/>
        <v>15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7</v>
      </c>
      <c r="T71" s="66">
        <v>2.4</v>
      </c>
      <c r="U71" s="66">
        <v>2.4</v>
      </c>
      <c r="V71" s="66">
        <v>0</v>
      </c>
      <c r="W71" s="66">
        <v>0</v>
      </c>
      <c r="X71" s="66">
        <v>0</v>
      </c>
      <c r="Y71" s="66">
        <v>0</v>
      </c>
      <c r="Z71" s="66">
        <v>3.8</v>
      </c>
      <c r="AA71" s="66">
        <v>2.6</v>
      </c>
      <c r="AB71" s="66">
        <v>0</v>
      </c>
      <c r="AC71" s="66"/>
      <c r="AD71" s="66"/>
      <c r="AE71" s="66"/>
      <c r="AF71" s="66"/>
      <c r="AG71" s="67">
        <v>14</v>
      </c>
      <c r="AH71" s="47">
        <f t="shared" si="2"/>
        <v>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52</v>
      </c>
      <c r="T72" s="60">
        <f t="shared" si="7"/>
        <v>19.099999999999998</v>
      </c>
      <c r="U72" s="60">
        <f t="shared" si="7"/>
        <v>19.099999999999998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44.3</v>
      </c>
      <c r="AA72" s="60">
        <f t="shared" si="7"/>
        <v>23.6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52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-12.8</v>
      </c>
      <c r="C73" s="45">
        <v>-20.399999999999999</v>
      </c>
      <c r="D73" s="45">
        <v>-19.100000000000001</v>
      </c>
      <c r="E73" s="45">
        <v>-19.8</v>
      </c>
      <c r="F73" s="45">
        <v>-23</v>
      </c>
      <c r="G73" s="45">
        <v>-25</v>
      </c>
      <c r="H73" s="45">
        <v>-25</v>
      </c>
      <c r="I73" s="45">
        <v>-35</v>
      </c>
      <c r="J73" s="45">
        <v>-42</v>
      </c>
      <c r="K73" s="45">
        <v>-38</v>
      </c>
      <c r="L73" s="45">
        <v>-38</v>
      </c>
      <c r="M73" s="45">
        <v>-2.1</v>
      </c>
      <c r="N73" s="45">
        <v>14.6</v>
      </c>
      <c r="O73" s="45">
        <v>25.3</v>
      </c>
      <c r="P73" s="45">
        <v>37</v>
      </c>
      <c r="Q73" s="45">
        <v>34.6</v>
      </c>
      <c r="R73" s="45">
        <v>42</v>
      </c>
      <c r="S73" s="45">
        <v>41.6</v>
      </c>
      <c r="T73" s="45">
        <v>28.6</v>
      </c>
      <c r="U73" s="45">
        <v>26</v>
      </c>
      <c r="V73" s="45">
        <v>-13.7</v>
      </c>
      <c r="W73" s="45">
        <v>-29</v>
      </c>
      <c r="X73" s="45">
        <v>-29.1</v>
      </c>
      <c r="Y73" s="45">
        <v>-9.6</v>
      </c>
      <c r="Z73" s="45">
        <v>20.3</v>
      </c>
      <c r="AA73" s="45">
        <v>24.4</v>
      </c>
      <c r="AB73" s="45">
        <v>21.1</v>
      </c>
      <c r="AC73" s="45">
        <v>18.2</v>
      </c>
      <c r="AD73" s="45">
        <v>15.1</v>
      </c>
      <c r="AE73" s="45">
        <v>-8.9</v>
      </c>
      <c r="AF73" s="45">
        <v>6.1</v>
      </c>
      <c r="AG73" s="51"/>
      <c r="AH73" s="47">
        <f t="shared" si="2"/>
        <v>42</v>
      </c>
      <c r="AI73" s="48">
        <f t="shared" si="3"/>
        <v>-42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>
        <v>30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30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-403.6</v>
      </c>
      <c r="C75" s="64">
        <v>-345</v>
      </c>
      <c r="D75" s="64">
        <v>-403</v>
      </c>
      <c r="E75" s="64">
        <v>-387.5</v>
      </c>
      <c r="F75" s="64">
        <v>-300</v>
      </c>
      <c r="G75" s="64">
        <v>-400.5</v>
      </c>
      <c r="H75" s="64">
        <v>-390</v>
      </c>
      <c r="I75" s="64">
        <v>-467.1</v>
      </c>
      <c r="J75" s="64">
        <v>-454</v>
      </c>
      <c r="K75" s="64">
        <v>-472</v>
      </c>
      <c r="L75" s="64">
        <v>-472</v>
      </c>
      <c r="M75" s="64">
        <v>-470</v>
      </c>
      <c r="N75" s="64">
        <v>-265</v>
      </c>
      <c r="O75" s="64">
        <v>-357</v>
      </c>
      <c r="P75" s="64">
        <v>-450</v>
      </c>
      <c r="Q75" s="64">
        <v>-491</v>
      </c>
      <c r="R75" s="64">
        <v>-350</v>
      </c>
      <c r="S75" s="64">
        <v>-348</v>
      </c>
      <c r="T75" s="64">
        <v>-358.5</v>
      </c>
      <c r="U75" s="64">
        <v>-391</v>
      </c>
      <c r="V75" s="64">
        <v>-417.6</v>
      </c>
      <c r="W75" s="64">
        <v>-433</v>
      </c>
      <c r="X75" s="64">
        <v>-460.9</v>
      </c>
      <c r="Y75" s="64">
        <v>-392.2</v>
      </c>
      <c r="Z75" s="64">
        <v>-347.6</v>
      </c>
      <c r="AA75" s="64">
        <v>-353.2</v>
      </c>
      <c r="AB75" s="64">
        <v>-345</v>
      </c>
      <c r="AC75" s="64">
        <v>-322</v>
      </c>
      <c r="AD75" s="64">
        <v>-366</v>
      </c>
      <c r="AE75" s="64">
        <v>-370</v>
      </c>
      <c r="AF75" s="64">
        <v>-319</v>
      </c>
      <c r="AG75" s="74"/>
      <c r="AH75" s="47">
        <f t="shared" si="2"/>
        <v>-265</v>
      </c>
      <c r="AI75" s="48">
        <f t="shared" si="3"/>
        <v>-491</v>
      </c>
      <c r="AK75" s="50"/>
    </row>
    <row r="76" spans="1:40" x14ac:dyDescent="0.25">
      <c r="A76" s="53" t="s">
        <v>84</v>
      </c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76">
        <v>5</v>
      </c>
      <c r="C78" s="76">
        <v>5</v>
      </c>
      <c r="D78" s="76">
        <v>5</v>
      </c>
      <c r="E78" s="76">
        <v>0</v>
      </c>
      <c r="F78" s="76">
        <v>0</v>
      </c>
      <c r="G78" s="76">
        <v>0</v>
      </c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>
        <v>5</v>
      </c>
      <c r="AG78" s="74"/>
      <c r="AH78" s="47">
        <f t="shared" si="8"/>
        <v>5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5</v>
      </c>
      <c r="C84" s="60">
        <f>SUMIF(C73:C83,"&gt;0")</f>
        <v>5</v>
      </c>
      <c r="D84" s="60">
        <f t="shared" ref="D84:AF84" si="10">SUMIF(D73:D83,"&gt;0")</f>
        <v>5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14.6</v>
      </c>
      <c r="O84" s="60">
        <f t="shared" si="10"/>
        <v>25.3</v>
      </c>
      <c r="P84" s="60">
        <f t="shared" si="10"/>
        <v>37</v>
      </c>
      <c r="Q84" s="60">
        <f t="shared" si="10"/>
        <v>64.599999999999994</v>
      </c>
      <c r="R84" s="60">
        <f t="shared" si="10"/>
        <v>42</v>
      </c>
      <c r="S84" s="60">
        <f t="shared" si="10"/>
        <v>41.6</v>
      </c>
      <c r="T84" s="60">
        <f>SUMIF(T73:T83,"&gt;0")</f>
        <v>28.6</v>
      </c>
      <c r="U84" s="60">
        <f t="shared" si="10"/>
        <v>26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20.3</v>
      </c>
      <c r="AA84" s="60">
        <f t="shared" si="10"/>
        <v>24.4</v>
      </c>
      <c r="AB84" s="60">
        <f t="shared" si="10"/>
        <v>21.1</v>
      </c>
      <c r="AC84" s="60">
        <f t="shared" si="10"/>
        <v>18.2</v>
      </c>
      <c r="AD84" s="60">
        <f t="shared" si="10"/>
        <v>15.1</v>
      </c>
      <c r="AE84" s="60">
        <f t="shared" si="10"/>
        <v>0</v>
      </c>
      <c r="AF84" s="60">
        <f t="shared" si="10"/>
        <v>11.1</v>
      </c>
      <c r="AG84" s="87">
        <f>SUM(AG73:AG83)</f>
        <v>0</v>
      </c>
      <c r="AH84" s="47">
        <f t="shared" si="8"/>
        <v>64.599999999999994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>B50+B54+B72+B68+B84+B88</f>
        <v>2015.0299999999997</v>
      </c>
      <c r="C89" s="94">
        <f>C50+C54+C72+C68+C84+C88</f>
        <v>1999.53</v>
      </c>
      <c r="D89" s="94">
        <f t="shared" ref="D89:AG89" si="11">D50+D54+D72+D68+D84+D88</f>
        <v>1998.0300000000002</v>
      </c>
      <c r="E89" s="94">
        <f t="shared" si="11"/>
        <v>1972.3300000000002</v>
      </c>
      <c r="F89" s="94">
        <f t="shared" si="11"/>
        <v>1910.7299999999998</v>
      </c>
      <c r="G89" s="94">
        <f t="shared" si="11"/>
        <v>2010.6299999999999</v>
      </c>
      <c r="H89" s="94">
        <f t="shared" si="11"/>
        <v>1996.6299999999999</v>
      </c>
      <c r="I89" s="94">
        <f t="shared" si="11"/>
        <v>2003.6299999999999</v>
      </c>
      <c r="J89" s="94">
        <f t="shared" si="11"/>
        <v>1994.13</v>
      </c>
      <c r="K89" s="94">
        <f t="shared" si="11"/>
        <v>2029.0299999999997</v>
      </c>
      <c r="L89" s="94">
        <f t="shared" si="11"/>
        <v>2029.0299999999997</v>
      </c>
      <c r="M89" s="94">
        <f t="shared" si="11"/>
        <v>2030.5300000000002</v>
      </c>
      <c r="N89" s="94">
        <f t="shared" si="11"/>
        <v>1979.5299999999997</v>
      </c>
      <c r="O89" s="94">
        <f t="shared" si="11"/>
        <v>2002.2299999999998</v>
      </c>
      <c r="P89" s="94">
        <f t="shared" si="11"/>
        <v>2047.4299999999998</v>
      </c>
      <c r="Q89" s="94">
        <f t="shared" si="11"/>
        <v>2075.0299999999997</v>
      </c>
      <c r="R89" s="94">
        <f t="shared" si="11"/>
        <v>2052.4299999999998</v>
      </c>
      <c r="S89" s="94">
        <f t="shared" si="11"/>
        <v>2079.5700000000002</v>
      </c>
      <c r="T89" s="94">
        <f t="shared" si="11"/>
        <v>2032.27</v>
      </c>
      <c r="U89" s="94">
        <f t="shared" si="11"/>
        <v>2038.67</v>
      </c>
      <c r="V89" s="94">
        <f t="shared" si="11"/>
        <v>2125.87</v>
      </c>
      <c r="W89" s="94">
        <f t="shared" si="11"/>
        <v>2120.77</v>
      </c>
      <c r="X89" s="94">
        <f t="shared" si="11"/>
        <v>2135.0700000000002</v>
      </c>
      <c r="Y89" s="94">
        <f t="shared" si="11"/>
        <v>2144.0700000000002</v>
      </c>
      <c r="Z89" s="94">
        <f t="shared" si="11"/>
        <v>2238.4700000000003</v>
      </c>
      <c r="AA89" s="94">
        <f t="shared" si="11"/>
        <v>2227.3700000000003</v>
      </c>
      <c r="AB89" s="94">
        <f t="shared" si="11"/>
        <v>2200.4700000000003</v>
      </c>
      <c r="AC89" s="94">
        <f t="shared" si="11"/>
        <v>2188.5700000000002</v>
      </c>
      <c r="AD89" s="94">
        <f t="shared" si="11"/>
        <v>2170.0700000000002</v>
      </c>
      <c r="AE89" s="94">
        <f t="shared" si="11"/>
        <v>2036.67</v>
      </c>
      <c r="AF89" s="94">
        <f t="shared" si="11"/>
        <v>2074.0700000000002</v>
      </c>
      <c r="AG89" s="61">
        <f t="shared" si="11"/>
        <v>2111.5500000000002</v>
      </c>
      <c r="AH89" s="47">
        <f t="shared" si="8"/>
        <v>2238.4700000000003</v>
      </c>
      <c r="AI89" s="48">
        <f t="shared" si="9"/>
        <v>1910.7299999999998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>
        <v>50</v>
      </c>
      <c r="U90" s="96">
        <v>50</v>
      </c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50</v>
      </c>
      <c r="AI90" s="48">
        <f t="shared" si="9"/>
        <v>50</v>
      </c>
    </row>
    <row r="91" spans="1:40" ht="15.75" thickBot="1" x14ac:dyDescent="0.3">
      <c r="A91" s="73" t="s">
        <v>102</v>
      </c>
      <c r="B91" s="94">
        <f>B89+B90</f>
        <v>2015.0299999999997</v>
      </c>
      <c r="C91" s="94">
        <f>C89+C90</f>
        <v>1999.53</v>
      </c>
      <c r="D91" s="94">
        <f t="shared" ref="D91:AF91" si="12">D89+D90</f>
        <v>1998.0300000000002</v>
      </c>
      <c r="E91" s="94">
        <f t="shared" si="12"/>
        <v>1972.3300000000002</v>
      </c>
      <c r="F91" s="94">
        <f t="shared" si="12"/>
        <v>1910.7299999999998</v>
      </c>
      <c r="G91" s="94">
        <f t="shared" si="12"/>
        <v>2010.6299999999999</v>
      </c>
      <c r="H91" s="94">
        <f t="shared" si="12"/>
        <v>1996.6299999999999</v>
      </c>
      <c r="I91" s="94">
        <f t="shared" si="12"/>
        <v>2003.6299999999999</v>
      </c>
      <c r="J91" s="94">
        <f t="shared" si="12"/>
        <v>1994.13</v>
      </c>
      <c r="K91" s="94">
        <f t="shared" si="12"/>
        <v>2029.0299999999997</v>
      </c>
      <c r="L91" s="94">
        <f t="shared" si="12"/>
        <v>2029.0299999999997</v>
      </c>
      <c r="M91" s="94">
        <f t="shared" si="12"/>
        <v>2030.5300000000002</v>
      </c>
      <c r="N91" s="94">
        <f t="shared" si="12"/>
        <v>1979.5299999999997</v>
      </c>
      <c r="O91" s="94">
        <f t="shared" si="12"/>
        <v>2002.2299999999998</v>
      </c>
      <c r="P91" s="94">
        <f t="shared" si="12"/>
        <v>2047.4299999999998</v>
      </c>
      <c r="Q91" s="94">
        <f t="shared" si="12"/>
        <v>2075.0299999999997</v>
      </c>
      <c r="R91" s="94">
        <f t="shared" si="12"/>
        <v>2052.4299999999998</v>
      </c>
      <c r="S91" s="94">
        <f t="shared" si="12"/>
        <v>2079.5700000000002</v>
      </c>
      <c r="T91" s="94">
        <f t="shared" si="12"/>
        <v>2082.27</v>
      </c>
      <c r="U91" s="94">
        <f t="shared" si="12"/>
        <v>2088.67</v>
      </c>
      <c r="V91" s="94">
        <f t="shared" si="12"/>
        <v>2125.87</v>
      </c>
      <c r="W91" s="94">
        <f t="shared" si="12"/>
        <v>2120.77</v>
      </c>
      <c r="X91" s="94">
        <f t="shared" si="12"/>
        <v>2135.0700000000002</v>
      </c>
      <c r="Y91" s="94">
        <f t="shared" si="12"/>
        <v>2144.0700000000002</v>
      </c>
      <c r="Z91" s="94">
        <f t="shared" si="12"/>
        <v>2238.4700000000003</v>
      </c>
      <c r="AA91" s="94">
        <f t="shared" si="12"/>
        <v>2227.3700000000003</v>
      </c>
      <c r="AB91" s="94">
        <f t="shared" si="12"/>
        <v>2200.4700000000003</v>
      </c>
      <c r="AC91" s="94">
        <f t="shared" si="12"/>
        <v>2188.5700000000002</v>
      </c>
      <c r="AD91" s="94">
        <f t="shared" si="12"/>
        <v>2170.0700000000002</v>
      </c>
      <c r="AE91" s="94">
        <f t="shared" si="12"/>
        <v>2036.67</v>
      </c>
      <c r="AF91" s="94">
        <f t="shared" si="12"/>
        <v>2074.0700000000002</v>
      </c>
      <c r="AG91" s="87">
        <f>AG88+AG84+AG72+AG68+AG50+AG90</f>
        <v>1573.45</v>
      </c>
      <c r="AH91" s="47">
        <f t="shared" si="8"/>
        <v>2238.4700000000003</v>
      </c>
      <c r="AI91" s="48">
        <f t="shared" si="9"/>
        <v>1910.7299999999998</v>
      </c>
    </row>
    <row r="92" spans="1:40" ht="15.75" thickBot="1" x14ac:dyDescent="0.3">
      <c r="A92" s="73" t="s">
        <v>103</v>
      </c>
      <c r="B92" s="94">
        <f>B91-(-B99)</f>
        <v>1611.4299999999998</v>
      </c>
      <c r="C92" s="94">
        <f>C91-(-C99)</f>
        <v>1654.53</v>
      </c>
      <c r="D92" s="94">
        <f t="shared" ref="D92:AF92" si="13">D91-(-D99)</f>
        <v>1595.0300000000002</v>
      </c>
      <c r="E92" s="94">
        <f t="shared" si="13"/>
        <v>1584.8300000000002</v>
      </c>
      <c r="F92" s="94">
        <f t="shared" si="13"/>
        <v>1610.7299999999998</v>
      </c>
      <c r="G92" s="94">
        <f t="shared" si="13"/>
        <v>1610.1299999999999</v>
      </c>
      <c r="H92" s="94">
        <f t="shared" si="13"/>
        <v>1606.6299999999999</v>
      </c>
      <c r="I92" s="94">
        <f t="shared" si="13"/>
        <v>1536.5299999999997</v>
      </c>
      <c r="J92" s="94">
        <f t="shared" si="13"/>
        <v>1540.13</v>
      </c>
      <c r="K92" s="94">
        <f t="shared" si="13"/>
        <v>1557.0299999999997</v>
      </c>
      <c r="L92" s="94">
        <f t="shared" si="13"/>
        <v>1557.0299999999997</v>
      </c>
      <c r="M92" s="94">
        <f t="shared" si="13"/>
        <v>1560.5300000000002</v>
      </c>
      <c r="N92" s="94">
        <f t="shared" si="13"/>
        <v>1714.5299999999997</v>
      </c>
      <c r="O92" s="94">
        <f t="shared" si="13"/>
        <v>1645.2299999999998</v>
      </c>
      <c r="P92" s="94">
        <f t="shared" si="13"/>
        <v>1597.4299999999998</v>
      </c>
      <c r="Q92" s="94">
        <f t="shared" si="13"/>
        <v>1584.0299999999997</v>
      </c>
      <c r="R92" s="94">
        <f t="shared" si="13"/>
        <v>1702.4299999999998</v>
      </c>
      <c r="S92" s="94">
        <f t="shared" si="13"/>
        <v>1731.5700000000002</v>
      </c>
      <c r="T92" s="94">
        <f t="shared" si="13"/>
        <v>1723.77</v>
      </c>
      <c r="U92" s="94">
        <f t="shared" si="13"/>
        <v>1697.67</v>
      </c>
      <c r="V92" s="94">
        <f t="shared" si="13"/>
        <v>1708.27</v>
      </c>
      <c r="W92" s="94">
        <f t="shared" si="13"/>
        <v>1687.77</v>
      </c>
      <c r="X92" s="94">
        <f t="shared" si="13"/>
        <v>1674.17</v>
      </c>
      <c r="Y92" s="94">
        <f t="shared" si="13"/>
        <v>1751.8700000000001</v>
      </c>
      <c r="Z92" s="94">
        <f t="shared" si="13"/>
        <v>1890.8700000000003</v>
      </c>
      <c r="AA92" s="94">
        <f t="shared" si="13"/>
        <v>1874.1700000000003</v>
      </c>
      <c r="AB92" s="94">
        <f t="shared" si="13"/>
        <v>1855.4700000000003</v>
      </c>
      <c r="AC92" s="94">
        <f t="shared" si="13"/>
        <v>1866.5700000000002</v>
      </c>
      <c r="AD92" s="94">
        <f t="shared" si="13"/>
        <v>1804.0700000000002</v>
      </c>
      <c r="AE92" s="94">
        <f t="shared" si="13"/>
        <v>1666.67</v>
      </c>
      <c r="AF92" s="94">
        <f t="shared" si="13"/>
        <v>1755.0700000000002</v>
      </c>
      <c r="AG92" s="87"/>
      <c r="AH92" s="47">
        <f t="shared" si="8"/>
        <v>1890.8700000000003</v>
      </c>
      <c r="AI92" s="48">
        <f t="shared" si="9"/>
        <v>1536.5299999999997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-403.6</v>
      </c>
      <c r="C99" s="60">
        <f>C75</f>
        <v>-345</v>
      </c>
      <c r="D99" s="60">
        <f t="shared" ref="D99:AF99" si="14">D75</f>
        <v>-403</v>
      </c>
      <c r="E99" s="60">
        <f t="shared" si="14"/>
        <v>-387.5</v>
      </c>
      <c r="F99" s="60">
        <f t="shared" si="14"/>
        <v>-300</v>
      </c>
      <c r="G99" s="60">
        <f t="shared" si="14"/>
        <v>-400.5</v>
      </c>
      <c r="H99" s="60">
        <f t="shared" si="14"/>
        <v>-390</v>
      </c>
      <c r="I99" s="60">
        <f t="shared" si="14"/>
        <v>-467.1</v>
      </c>
      <c r="J99" s="60">
        <f t="shared" si="14"/>
        <v>-454</v>
      </c>
      <c r="K99" s="60">
        <f t="shared" si="14"/>
        <v>-472</v>
      </c>
      <c r="L99" s="60">
        <f t="shared" si="14"/>
        <v>-472</v>
      </c>
      <c r="M99" s="60">
        <f t="shared" si="14"/>
        <v>-470</v>
      </c>
      <c r="N99" s="60">
        <f t="shared" si="14"/>
        <v>-265</v>
      </c>
      <c r="O99" s="60">
        <f t="shared" si="14"/>
        <v>-357</v>
      </c>
      <c r="P99" s="60">
        <f t="shared" si="14"/>
        <v>-450</v>
      </c>
      <c r="Q99" s="60">
        <f t="shared" si="14"/>
        <v>-491</v>
      </c>
      <c r="R99" s="60">
        <f t="shared" si="14"/>
        <v>-350</v>
      </c>
      <c r="S99" s="60">
        <f t="shared" si="14"/>
        <v>-348</v>
      </c>
      <c r="T99" s="60">
        <f t="shared" si="14"/>
        <v>-358.5</v>
      </c>
      <c r="U99" s="60">
        <f t="shared" si="14"/>
        <v>-391</v>
      </c>
      <c r="V99" s="60">
        <f t="shared" si="14"/>
        <v>-417.6</v>
      </c>
      <c r="W99" s="60">
        <f t="shared" si="14"/>
        <v>-433</v>
      </c>
      <c r="X99" s="60">
        <f t="shared" si="14"/>
        <v>-460.9</v>
      </c>
      <c r="Y99" s="60">
        <f t="shared" si="14"/>
        <v>-392.2</v>
      </c>
      <c r="Z99" s="60">
        <f t="shared" si="14"/>
        <v>-347.6</v>
      </c>
      <c r="AA99" s="60">
        <f t="shared" si="14"/>
        <v>-353.2</v>
      </c>
      <c r="AB99" s="60">
        <f t="shared" si="14"/>
        <v>-345</v>
      </c>
      <c r="AC99" s="60">
        <f t="shared" si="14"/>
        <v>-322</v>
      </c>
      <c r="AD99" s="60">
        <f t="shared" si="14"/>
        <v>-366</v>
      </c>
      <c r="AE99" s="60">
        <f t="shared" si="14"/>
        <v>-370</v>
      </c>
      <c r="AF99" s="60">
        <f t="shared" si="14"/>
        <v>-319</v>
      </c>
      <c r="AG99" s="87"/>
      <c r="AH99" s="47">
        <f t="shared" si="8"/>
        <v>-265</v>
      </c>
      <c r="AI99" s="48">
        <f t="shared" si="9"/>
        <v>-491</v>
      </c>
      <c r="AK99" s="50"/>
    </row>
    <row r="100" spans="1:37" ht="15.75" thickBot="1" x14ac:dyDescent="0.3">
      <c r="A100" s="73" t="s">
        <v>108</v>
      </c>
      <c r="B100" s="60">
        <f>B84-B99</f>
        <v>408.6</v>
      </c>
      <c r="C100" s="60">
        <f>C84-C99</f>
        <v>350</v>
      </c>
      <c r="D100" s="60">
        <f t="shared" ref="D100:AF100" si="15">D84-D99</f>
        <v>408</v>
      </c>
      <c r="E100" s="60">
        <f t="shared" si="15"/>
        <v>387.5</v>
      </c>
      <c r="F100" s="60">
        <f t="shared" si="15"/>
        <v>300</v>
      </c>
      <c r="G100" s="60">
        <f t="shared" si="15"/>
        <v>400.5</v>
      </c>
      <c r="H100" s="60">
        <f t="shared" si="15"/>
        <v>390</v>
      </c>
      <c r="I100" s="60">
        <f t="shared" si="15"/>
        <v>467.1</v>
      </c>
      <c r="J100" s="60">
        <f t="shared" si="15"/>
        <v>454</v>
      </c>
      <c r="K100" s="60">
        <f t="shared" si="15"/>
        <v>472</v>
      </c>
      <c r="L100" s="60">
        <f t="shared" si="15"/>
        <v>472</v>
      </c>
      <c r="M100" s="60">
        <f t="shared" si="15"/>
        <v>470</v>
      </c>
      <c r="N100" s="60">
        <f t="shared" si="15"/>
        <v>279.60000000000002</v>
      </c>
      <c r="O100" s="60">
        <f t="shared" si="15"/>
        <v>382.3</v>
      </c>
      <c r="P100" s="60">
        <f t="shared" si="15"/>
        <v>487</v>
      </c>
      <c r="Q100" s="60">
        <f t="shared" si="15"/>
        <v>555.6</v>
      </c>
      <c r="R100" s="60">
        <f t="shared" si="15"/>
        <v>392</v>
      </c>
      <c r="S100" s="60">
        <f t="shared" si="15"/>
        <v>389.6</v>
      </c>
      <c r="T100" s="60">
        <f t="shared" si="15"/>
        <v>387.1</v>
      </c>
      <c r="U100" s="60">
        <f t="shared" si="15"/>
        <v>417</v>
      </c>
      <c r="V100" s="60">
        <f t="shared" si="15"/>
        <v>417.6</v>
      </c>
      <c r="W100" s="60">
        <f t="shared" si="15"/>
        <v>433</v>
      </c>
      <c r="X100" s="60">
        <f t="shared" si="15"/>
        <v>460.9</v>
      </c>
      <c r="Y100" s="60">
        <f t="shared" si="15"/>
        <v>392.2</v>
      </c>
      <c r="Z100" s="60">
        <f t="shared" si="15"/>
        <v>367.90000000000003</v>
      </c>
      <c r="AA100" s="60">
        <f t="shared" si="15"/>
        <v>377.59999999999997</v>
      </c>
      <c r="AB100" s="60">
        <f t="shared" si="15"/>
        <v>366.1</v>
      </c>
      <c r="AC100" s="60">
        <f t="shared" si="15"/>
        <v>340.2</v>
      </c>
      <c r="AD100" s="60">
        <f t="shared" si="15"/>
        <v>381.1</v>
      </c>
      <c r="AE100" s="60">
        <f t="shared" si="15"/>
        <v>370</v>
      </c>
      <c r="AF100" s="60">
        <f t="shared" si="15"/>
        <v>330.1</v>
      </c>
      <c r="AG100" s="87"/>
      <c r="AH100" s="47">
        <f t="shared" si="8"/>
        <v>555.6</v>
      </c>
      <c r="AI100" s="48">
        <f t="shared" si="9"/>
        <v>279.60000000000002</v>
      </c>
    </row>
    <row r="101" spans="1:37" x14ac:dyDescent="0.25">
      <c r="A101" s="99" t="s">
        <v>109</v>
      </c>
      <c r="B101" s="100">
        <v>50.02</v>
      </c>
      <c r="C101" s="100">
        <v>49.98</v>
      </c>
      <c r="D101" s="100">
        <v>49.98</v>
      </c>
      <c r="E101" s="100">
        <v>49.963000000000001</v>
      </c>
      <c r="F101" s="100">
        <v>50.015999999999998</v>
      </c>
      <c r="G101" s="100">
        <v>50.015000000000001</v>
      </c>
      <c r="H101" s="100"/>
      <c r="I101" s="100">
        <v>49.96</v>
      </c>
      <c r="J101" s="100">
        <v>50.05</v>
      </c>
      <c r="K101" s="100">
        <v>50.036999999999999</v>
      </c>
      <c r="L101" s="100">
        <v>50.036999999999999</v>
      </c>
      <c r="M101" s="100">
        <v>50.116999999999997</v>
      </c>
      <c r="N101" s="100">
        <v>50.027999999999999</v>
      </c>
      <c r="O101" s="100">
        <v>50.024000000000001</v>
      </c>
      <c r="P101" s="100">
        <v>50.024000000000001</v>
      </c>
      <c r="Q101" s="100">
        <v>49.92</v>
      </c>
      <c r="R101" s="100">
        <v>50.042000000000002</v>
      </c>
      <c r="S101" s="100">
        <v>50.055999999999997</v>
      </c>
      <c r="T101" s="100">
        <v>49.929000000000002</v>
      </c>
      <c r="U101" s="100">
        <v>50.003999999999998</v>
      </c>
      <c r="V101" s="100">
        <v>50.005000000000003</v>
      </c>
      <c r="W101" s="100">
        <v>50.026000000000003</v>
      </c>
      <c r="X101" s="100">
        <v>50.024000000000001</v>
      </c>
      <c r="Y101" s="100">
        <v>50.018999999999998</v>
      </c>
      <c r="Z101" s="100">
        <v>50.009</v>
      </c>
      <c r="AA101" s="100">
        <v>49.984999999999999</v>
      </c>
      <c r="AB101" s="100">
        <v>50.076000000000001</v>
      </c>
      <c r="AC101" s="100">
        <v>50.076000000000001</v>
      </c>
      <c r="AD101" s="100">
        <v>50.078000000000003</v>
      </c>
      <c r="AE101" s="100">
        <v>50.015999999999998</v>
      </c>
      <c r="AF101" s="100">
        <v>50.015999999999998</v>
      </c>
      <c r="AG101" s="101"/>
      <c r="AH101" s="47">
        <f t="shared" si="8"/>
        <v>50.116999999999997</v>
      </c>
      <c r="AI101" s="48">
        <f t="shared" si="9"/>
        <v>49.92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127.4</v>
      </c>
      <c r="C103" s="64">
        <v>128</v>
      </c>
      <c r="D103" s="64">
        <v>129.30000000000001</v>
      </c>
      <c r="E103" s="64">
        <v>129.19999999999999</v>
      </c>
      <c r="F103" s="64">
        <v>129.19999999999999</v>
      </c>
      <c r="G103" s="64">
        <v>128.6</v>
      </c>
      <c r="H103" s="64"/>
      <c r="I103" s="64"/>
      <c r="J103" s="64">
        <v>125.3</v>
      </c>
      <c r="K103" s="64">
        <v>126</v>
      </c>
      <c r="L103" s="64">
        <v>126</v>
      </c>
      <c r="M103" s="64">
        <v>124.6</v>
      </c>
      <c r="N103" s="64">
        <v>125.3</v>
      </c>
      <c r="O103" s="64">
        <v>124.1</v>
      </c>
      <c r="P103" s="64">
        <v>124.1</v>
      </c>
      <c r="Q103" s="64">
        <v>123</v>
      </c>
      <c r="R103" s="64">
        <v>125</v>
      </c>
      <c r="S103" s="64">
        <v>125.6</v>
      </c>
      <c r="T103" s="64">
        <v>124</v>
      </c>
      <c r="U103" s="64">
        <v>124.1</v>
      </c>
      <c r="V103" s="64">
        <v>124.3</v>
      </c>
      <c r="W103" s="64">
        <v>126.6</v>
      </c>
      <c r="X103" s="64">
        <v>127</v>
      </c>
      <c r="Y103" s="64">
        <v>124.6</v>
      </c>
      <c r="Z103" s="64">
        <v>125.9</v>
      </c>
      <c r="AA103" s="64">
        <v>126.1</v>
      </c>
      <c r="AB103" s="64">
        <v>126.2</v>
      </c>
      <c r="AC103" s="64">
        <v>126.2</v>
      </c>
      <c r="AD103" s="64">
        <v>128.9</v>
      </c>
      <c r="AE103" s="64">
        <v>129.5</v>
      </c>
      <c r="AF103" s="64">
        <v>129.5</v>
      </c>
      <c r="AG103" s="103"/>
      <c r="AH103" s="47">
        <f t="shared" si="8"/>
        <v>129.5</v>
      </c>
      <c r="AI103" s="48">
        <f t="shared" si="9"/>
        <v>123</v>
      </c>
    </row>
    <row r="104" spans="1:37" x14ac:dyDescent="0.25">
      <c r="A104" s="102" t="s">
        <v>112</v>
      </c>
      <c r="B104" s="64">
        <v>127.8</v>
      </c>
      <c r="C104" s="64">
        <v>128.69999999999999</v>
      </c>
      <c r="D104" s="64">
        <v>128.69999999999999</v>
      </c>
      <c r="E104" s="64">
        <v>132.19999999999999</v>
      </c>
      <c r="F104" s="64">
        <v>132.19999999999999</v>
      </c>
      <c r="G104" s="64">
        <v>128.4</v>
      </c>
      <c r="H104" s="64"/>
      <c r="I104" s="64"/>
      <c r="J104" s="64">
        <v>127.7</v>
      </c>
      <c r="K104" s="64">
        <v>130.19999999999999</v>
      </c>
      <c r="L104" s="64">
        <v>130.19999999999999</v>
      </c>
      <c r="M104" s="64">
        <v>126.3</v>
      </c>
      <c r="N104" s="64">
        <v>123.5</v>
      </c>
      <c r="O104" s="64">
        <v>125.2</v>
      </c>
      <c r="P104" s="64">
        <v>125.2</v>
      </c>
      <c r="Q104" s="64">
        <v>129.80000000000001</v>
      </c>
      <c r="R104" s="64">
        <v>127.1</v>
      </c>
      <c r="S104" s="64">
        <v>126.7</v>
      </c>
      <c r="T104" s="64">
        <v>128.80000000000001</v>
      </c>
      <c r="U104" s="64">
        <v>128.1</v>
      </c>
      <c r="V104" s="64">
        <v>128.5</v>
      </c>
      <c r="W104" s="64">
        <v>129</v>
      </c>
      <c r="X104" s="64">
        <v>127.9</v>
      </c>
      <c r="Y104" s="64">
        <v>129.19999999999999</v>
      </c>
      <c r="Z104" s="64">
        <v>126.5</v>
      </c>
      <c r="AA104" s="64">
        <v>127.4</v>
      </c>
      <c r="AB104" s="64">
        <v>127</v>
      </c>
      <c r="AC104" s="64">
        <v>127</v>
      </c>
      <c r="AD104" s="64">
        <v>127.9</v>
      </c>
      <c r="AE104" s="64">
        <v>128.69999999999999</v>
      </c>
      <c r="AF104" s="64">
        <v>128.69999999999999</v>
      </c>
      <c r="AG104" s="103"/>
      <c r="AH104" s="47">
        <f t="shared" si="8"/>
        <v>132.19999999999999</v>
      </c>
      <c r="AI104" s="48">
        <f t="shared" si="9"/>
        <v>123.5</v>
      </c>
    </row>
    <row r="105" spans="1:37" x14ac:dyDescent="0.25">
      <c r="A105" s="104" t="s">
        <v>113</v>
      </c>
      <c r="B105" s="64">
        <v>130.1</v>
      </c>
      <c r="C105" s="64">
        <v>131.6</v>
      </c>
      <c r="D105" s="64">
        <v>132.19999999999999</v>
      </c>
      <c r="E105" s="64">
        <v>135</v>
      </c>
      <c r="F105" s="64">
        <v>135</v>
      </c>
      <c r="G105" s="64">
        <v>130.80000000000001</v>
      </c>
      <c r="H105" s="64"/>
      <c r="I105" s="64"/>
      <c r="J105" s="64">
        <v>129.80000000000001</v>
      </c>
      <c r="K105" s="64">
        <v>132.80000000000001</v>
      </c>
      <c r="L105" s="64">
        <v>132.80000000000001</v>
      </c>
      <c r="M105" s="64">
        <v>128.69999999999999</v>
      </c>
      <c r="N105" s="64">
        <v>125.7</v>
      </c>
      <c r="O105" s="64">
        <v>126.4</v>
      </c>
      <c r="P105" s="64">
        <v>126.4</v>
      </c>
      <c r="Q105" s="64">
        <v>128.5</v>
      </c>
      <c r="R105" s="64">
        <v>129.4</v>
      </c>
      <c r="S105" s="64">
        <v>128</v>
      </c>
      <c r="T105" s="64">
        <v>130.19999999999999</v>
      </c>
      <c r="U105" s="64">
        <v>129.5</v>
      </c>
      <c r="V105" s="64">
        <v>129.9</v>
      </c>
      <c r="W105" s="64">
        <v>130.6</v>
      </c>
      <c r="X105" s="64">
        <v>129.19999999999999</v>
      </c>
      <c r="Y105" s="64">
        <v>130.9</v>
      </c>
      <c r="Z105" s="64">
        <v>129.19999999999999</v>
      </c>
      <c r="AA105" s="64">
        <v>129.30000000000001</v>
      </c>
      <c r="AB105" s="64">
        <v>129.19999999999999</v>
      </c>
      <c r="AC105" s="64">
        <v>129.19999999999999</v>
      </c>
      <c r="AD105" s="64">
        <v>130</v>
      </c>
      <c r="AE105" s="64">
        <v>130</v>
      </c>
      <c r="AF105" s="64">
        <v>130</v>
      </c>
      <c r="AG105" s="103"/>
      <c r="AH105" s="47">
        <f t="shared" si="8"/>
        <v>135</v>
      </c>
      <c r="AI105" s="48">
        <f t="shared" si="9"/>
        <v>125.7</v>
      </c>
    </row>
    <row r="106" spans="1:37" x14ac:dyDescent="0.25">
      <c r="A106" s="104" t="s">
        <v>114</v>
      </c>
      <c r="B106" s="105">
        <v>128.5</v>
      </c>
      <c r="C106" s="105">
        <v>132</v>
      </c>
      <c r="D106" s="105">
        <v>130.9</v>
      </c>
      <c r="E106" s="105">
        <v>134.30000000000001</v>
      </c>
      <c r="F106" s="105">
        <v>134.30000000000001</v>
      </c>
      <c r="G106" s="105">
        <v>131.74</v>
      </c>
      <c r="H106" s="105"/>
      <c r="I106" s="105"/>
      <c r="J106" s="105">
        <v>134.6</v>
      </c>
      <c r="K106" s="105">
        <v>134.6</v>
      </c>
      <c r="L106" s="105">
        <v>134.6</v>
      </c>
      <c r="M106" s="105">
        <v>131.19999999999999</v>
      </c>
      <c r="N106" s="105">
        <v>134</v>
      </c>
      <c r="O106" s="105">
        <v>131.5</v>
      </c>
      <c r="P106" s="105">
        <v>131.5</v>
      </c>
      <c r="Q106" s="105">
        <v>134.5</v>
      </c>
      <c r="R106" s="105">
        <v>129.69999999999999</v>
      </c>
      <c r="S106" s="105">
        <v>132</v>
      </c>
      <c r="T106" s="105">
        <v>132.4</v>
      </c>
      <c r="U106" s="105">
        <v>129</v>
      </c>
      <c r="V106" s="105">
        <v>130.1</v>
      </c>
      <c r="W106" s="105">
        <v>132.80000000000001</v>
      </c>
      <c r="X106" s="105">
        <v>133.6</v>
      </c>
      <c r="Y106" s="105">
        <v>130.80000000000001</v>
      </c>
      <c r="Z106" s="105">
        <v>129.9</v>
      </c>
      <c r="AA106" s="105">
        <v>132.4</v>
      </c>
      <c r="AB106" s="105">
        <v>134.1</v>
      </c>
      <c r="AC106" s="105">
        <v>134.1</v>
      </c>
      <c r="AD106" s="105">
        <v>134.30000000000001</v>
      </c>
      <c r="AE106" s="105">
        <v>132.5</v>
      </c>
      <c r="AF106" s="105">
        <v>132.5</v>
      </c>
      <c r="AG106" s="106"/>
      <c r="AH106" s="47">
        <f t="shared" si="8"/>
        <v>134.6</v>
      </c>
      <c r="AI106" s="48">
        <f t="shared" si="9"/>
        <v>128.5</v>
      </c>
    </row>
    <row r="107" spans="1:37" x14ac:dyDescent="0.25">
      <c r="A107" s="102" t="s">
        <v>115</v>
      </c>
      <c r="B107" s="64">
        <v>131.6</v>
      </c>
      <c r="C107" s="64">
        <v>133.1</v>
      </c>
      <c r="D107" s="64">
        <v>133.4</v>
      </c>
      <c r="E107" s="64">
        <v>132.5</v>
      </c>
      <c r="F107" s="64">
        <v>132.5</v>
      </c>
      <c r="G107" s="64">
        <v>135.5</v>
      </c>
      <c r="H107" s="64"/>
      <c r="I107" s="64"/>
      <c r="J107" s="64">
        <v>131.30000000000001</v>
      </c>
      <c r="K107" s="64">
        <v>129.80000000000001</v>
      </c>
      <c r="L107" s="64">
        <v>129.80000000000001</v>
      </c>
      <c r="M107" s="64">
        <v>131.4</v>
      </c>
      <c r="N107" s="64">
        <v>130.6</v>
      </c>
      <c r="O107" s="64">
        <v>127.4</v>
      </c>
      <c r="P107" s="64">
        <v>127.4</v>
      </c>
      <c r="Q107" s="64">
        <v>131.19999999999999</v>
      </c>
      <c r="R107" s="64">
        <v>133.6</v>
      </c>
      <c r="S107" s="64">
        <v>126.4</v>
      </c>
      <c r="T107" s="64">
        <v>131.80000000000001</v>
      </c>
      <c r="U107" s="64">
        <v>134</v>
      </c>
      <c r="V107" s="64">
        <v>130.69999999999999</v>
      </c>
      <c r="W107" s="64">
        <v>131.5</v>
      </c>
      <c r="X107" s="64">
        <v>130.6</v>
      </c>
      <c r="Y107" s="64">
        <v>134.69999999999999</v>
      </c>
      <c r="Z107" s="64">
        <v>133.19999999999999</v>
      </c>
      <c r="AA107" s="64">
        <v>126.6</v>
      </c>
      <c r="AB107" s="64">
        <v>127.1</v>
      </c>
      <c r="AC107" s="64">
        <v>127.1</v>
      </c>
      <c r="AD107" s="64">
        <v>130</v>
      </c>
      <c r="AE107" s="64">
        <v>136.19999999999999</v>
      </c>
      <c r="AF107" s="64">
        <v>136.19999999999999</v>
      </c>
      <c r="AG107" s="103"/>
      <c r="AH107" s="47">
        <f t="shared" si="8"/>
        <v>136.19999999999999</v>
      </c>
      <c r="AI107" s="48">
        <f t="shared" si="9"/>
        <v>126.4</v>
      </c>
    </row>
    <row r="108" spans="1:37" ht="15.75" thickBot="1" x14ac:dyDescent="0.3">
      <c r="A108" s="102" t="s">
        <v>116</v>
      </c>
      <c r="B108" s="91">
        <v>64.5</v>
      </c>
      <c r="C108" s="91">
        <v>64.7</v>
      </c>
      <c r="D108" s="91">
        <v>65.5</v>
      </c>
      <c r="E108" s="91">
        <v>65.5</v>
      </c>
      <c r="F108" s="91">
        <v>65.5</v>
      </c>
      <c r="G108" s="91">
        <v>64.900000000000006</v>
      </c>
      <c r="H108" s="91"/>
      <c r="I108" s="91"/>
      <c r="J108" s="91">
        <v>63.2</v>
      </c>
      <c r="K108" s="91">
        <v>63.9</v>
      </c>
      <c r="L108" s="91">
        <v>63.9</v>
      </c>
      <c r="M108" s="91">
        <v>62.8</v>
      </c>
      <c r="N108" s="91">
        <v>63.1</v>
      </c>
      <c r="O108" s="91">
        <v>62.2</v>
      </c>
      <c r="P108" s="91">
        <v>62.2</v>
      </c>
      <c r="Q108" s="91">
        <v>61.5</v>
      </c>
      <c r="R108" s="91">
        <v>62.9</v>
      </c>
      <c r="S108" s="91">
        <v>62.9</v>
      </c>
      <c r="T108" s="91">
        <v>62.4</v>
      </c>
      <c r="U108" s="91">
        <v>62</v>
      </c>
      <c r="V108" s="91">
        <v>62.4</v>
      </c>
      <c r="W108" s="91">
        <v>63.6</v>
      </c>
      <c r="X108" s="91">
        <v>63.9</v>
      </c>
      <c r="Y108" s="91">
        <v>62.8</v>
      </c>
      <c r="Z108" s="91">
        <v>63.9</v>
      </c>
      <c r="AA108" s="91">
        <v>63.9</v>
      </c>
      <c r="AB108" s="91">
        <v>63.7</v>
      </c>
      <c r="AC108" s="91">
        <v>63.7</v>
      </c>
      <c r="AD108" s="91">
        <v>64.7</v>
      </c>
      <c r="AE108" s="91">
        <v>65.2</v>
      </c>
      <c r="AF108" s="91">
        <v>65.2</v>
      </c>
      <c r="AG108" s="107"/>
      <c r="AH108" s="47">
        <f t="shared" si="8"/>
        <v>65.5</v>
      </c>
      <c r="AI108" s="48">
        <f t="shared" si="9"/>
        <v>61.5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58.099999999999994</v>
      </c>
      <c r="C110" s="110">
        <f>SUM(C20,C26,C29:C30,C58,C60:C61,C63,C65,C111:C115,C138,C144,C150,C159,C161,C173,C180,C183:C184,C191,C193,C195,C199:C201,C203:C205,C210,C216:C217,C219:C221,C229,C234)</f>
        <v>53.339999999999989</v>
      </c>
      <c r="D110" s="110">
        <f t="shared" ref="D110:O110" si="16">SUM(D20,D26,D29:D30,D58,D60:D61,D63,D65,D111:D115,D138,D144,D150,D159,D161,D173,D180,D183:D184,D191,D193,D195,D199:D201,D203:D205,D210,D216:D217,D219:D221,D229,D234)</f>
        <v>44.640000000000008</v>
      </c>
      <c r="E110" s="110">
        <f t="shared" si="16"/>
        <v>51.440000000000012</v>
      </c>
      <c r="F110" s="110">
        <f t="shared" si="16"/>
        <v>138.94</v>
      </c>
      <c r="G110" s="110">
        <f t="shared" si="16"/>
        <v>72.84</v>
      </c>
      <c r="H110" s="110">
        <f t="shared" si="16"/>
        <v>138.94</v>
      </c>
      <c r="I110" s="110">
        <f t="shared" si="16"/>
        <v>138.94</v>
      </c>
      <c r="J110" s="110">
        <f t="shared" si="16"/>
        <v>172.64000000000001</v>
      </c>
      <c r="K110" s="110">
        <f t="shared" si="16"/>
        <v>192.94</v>
      </c>
      <c r="L110" s="110">
        <f t="shared" si="16"/>
        <v>192.94</v>
      </c>
      <c r="M110" s="110">
        <f t="shared" si="16"/>
        <v>269.33999999999997</v>
      </c>
      <c r="N110" s="110">
        <f t="shared" si="16"/>
        <v>185.14</v>
      </c>
      <c r="O110" s="110">
        <f t="shared" si="16"/>
        <v>196.53999999999996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208.40000000000003</v>
      </c>
      <c r="R110" s="110">
        <f t="shared" si="17"/>
        <v>211.89999999999998</v>
      </c>
      <c r="S110" s="110">
        <f t="shared" si="17"/>
        <v>196.3</v>
      </c>
      <c r="T110" s="110">
        <f t="shared" si="17"/>
        <v>202.29999999999995</v>
      </c>
      <c r="U110" s="110">
        <f t="shared" si="17"/>
        <v>178</v>
      </c>
      <c r="V110" s="110">
        <f t="shared" si="17"/>
        <v>219.09999999999997</v>
      </c>
      <c r="W110" s="110">
        <f t="shared" si="17"/>
        <v>214.10000000000002</v>
      </c>
      <c r="X110" s="110">
        <f t="shared" si="17"/>
        <v>220.30000000000004</v>
      </c>
      <c r="Y110" s="110">
        <f t="shared" si="17"/>
        <v>264.90000000000003</v>
      </c>
      <c r="Z110" s="110">
        <f t="shared" si="17"/>
        <v>284.7</v>
      </c>
      <c r="AA110" s="110">
        <f t="shared" si="17"/>
        <v>260.89999999999998</v>
      </c>
      <c r="AB110" s="110">
        <f t="shared" si="17"/>
        <v>233.49999999999997</v>
      </c>
      <c r="AC110" s="110">
        <f t="shared" si="17"/>
        <v>224.49999999999997</v>
      </c>
      <c r="AD110" s="110"/>
      <c r="AE110" s="110">
        <f t="shared" si="17"/>
        <v>97.799999999999983</v>
      </c>
      <c r="AF110" s="110">
        <f t="shared" si="17"/>
        <v>107.1</v>
      </c>
      <c r="AG110" s="111"/>
      <c r="AH110" s="47">
        <f t="shared" si="8"/>
        <v>284.7</v>
      </c>
      <c r="AI110" s="48">
        <f t="shared" si="9"/>
        <v>42</v>
      </c>
    </row>
    <row r="111" spans="1:37" x14ac:dyDescent="0.25">
      <c r="A111" s="99" t="s">
        <v>119</v>
      </c>
      <c r="B111" s="112">
        <v>21</v>
      </c>
      <c r="C111" s="112">
        <v>21.1</v>
      </c>
      <c r="D111" s="112">
        <v>17.5</v>
      </c>
      <c r="E111" s="112">
        <v>15.9</v>
      </c>
      <c r="F111" s="112"/>
      <c r="G111" s="112">
        <v>22.3</v>
      </c>
      <c r="H111" s="112"/>
      <c r="I111" s="112"/>
      <c r="J111" s="112">
        <v>73</v>
      </c>
      <c r="K111" s="112">
        <v>71.599999999999994</v>
      </c>
      <c r="L111" s="112">
        <v>71.599999999999994</v>
      </c>
      <c r="M111" s="112">
        <v>57.3</v>
      </c>
      <c r="N111" s="112">
        <v>31.3</v>
      </c>
      <c r="O111" s="112">
        <v>56</v>
      </c>
      <c r="P111" s="112">
        <v>56</v>
      </c>
      <c r="Q111" s="112">
        <v>62.3</v>
      </c>
      <c r="R111" s="112">
        <v>51.9</v>
      </c>
      <c r="S111" s="112">
        <v>55.4</v>
      </c>
      <c r="T111" s="112">
        <v>61.7</v>
      </c>
      <c r="U111" s="112">
        <v>58</v>
      </c>
      <c r="V111" s="112">
        <v>47.3</v>
      </c>
      <c r="W111" s="112">
        <v>41.3</v>
      </c>
      <c r="X111" s="112">
        <v>45.3</v>
      </c>
      <c r="Y111" s="112">
        <v>54.7</v>
      </c>
      <c r="Z111" s="112">
        <v>51.8</v>
      </c>
      <c r="AA111" s="112">
        <v>51.4</v>
      </c>
      <c r="AB111" s="112">
        <v>42.1</v>
      </c>
      <c r="AC111" s="112">
        <v>42.1</v>
      </c>
      <c r="AD111" s="112">
        <v>38.4</v>
      </c>
      <c r="AE111" s="112">
        <v>30.6</v>
      </c>
      <c r="AF111" s="112">
        <v>30.6</v>
      </c>
      <c r="AG111" s="113">
        <v>75</v>
      </c>
      <c r="AH111" s="47">
        <f t="shared" si="8"/>
        <v>73</v>
      </c>
      <c r="AI111" s="48">
        <f t="shared" si="9"/>
        <v>15.9</v>
      </c>
    </row>
    <row r="112" spans="1:37" x14ac:dyDescent="0.25">
      <c r="A112" s="102" t="s">
        <v>120</v>
      </c>
      <c r="B112" s="114">
        <v>28.7</v>
      </c>
      <c r="C112" s="114">
        <v>27.6</v>
      </c>
      <c r="D112" s="114">
        <v>23.9</v>
      </c>
      <c r="E112" s="114">
        <v>20.399999999999999</v>
      </c>
      <c r="F112" s="114"/>
      <c r="G112" s="114">
        <v>28.2</v>
      </c>
      <c r="H112" s="114"/>
      <c r="I112" s="114"/>
      <c r="J112" s="114">
        <v>107.3</v>
      </c>
      <c r="K112" s="114">
        <v>103.3</v>
      </c>
      <c r="L112" s="114">
        <v>103.3</v>
      </c>
      <c r="M112" s="114">
        <v>82.6</v>
      </c>
      <c r="N112" s="114">
        <v>44</v>
      </c>
      <c r="O112" s="114">
        <v>81.400000000000006</v>
      </c>
      <c r="P112" s="114">
        <v>81.400000000000006</v>
      </c>
      <c r="Q112" s="114">
        <v>90</v>
      </c>
      <c r="R112" s="114">
        <v>74</v>
      </c>
      <c r="S112" s="114">
        <v>82</v>
      </c>
      <c r="T112" s="114">
        <v>91.2</v>
      </c>
      <c r="U112" s="114">
        <v>87</v>
      </c>
      <c r="V112" s="114">
        <v>69.7</v>
      </c>
      <c r="W112" s="114">
        <v>60.7</v>
      </c>
      <c r="X112" s="114">
        <v>65</v>
      </c>
      <c r="Y112" s="114">
        <v>77.3</v>
      </c>
      <c r="Z112" s="114">
        <v>75.7</v>
      </c>
      <c r="AA112" s="114">
        <v>74.400000000000006</v>
      </c>
      <c r="AB112" s="114">
        <v>63.3</v>
      </c>
      <c r="AC112" s="114">
        <v>63.3</v>
      </c>
      <c r="AD112" s="114">
        <v>53.7</v>
      </c>
      <c r="AE112" s="114">
        <v>41.5</v>
      </c>
      <c r="AF112" s="114">
        <v>41.5</v>
      </c>
      <c r="AG112" s="113">
        <v>240</v>
      </c>
      <c r="AH112" s="47">
        <f t="shared" si="8"/>
        <v>107.3</v>
      </c>
      <c r="AI112" s="48">
        <f t="shared" si="9"/>
        <v>20.399999999999999</v>
      </c>
    </row>
    <row r="113" spans="1:37" x14ac:dyDescent="0.25">
      <c r="A113" s="102" t="s">
        <v>121</v>
      </c>
      <c r="B113" s="114">
        <f>-71-75.2</f>
        <v>-146.19999999999999</v>
      </c>
      <c r="C113" s="114">
        <f>-73.3-76.9</f>
        <v>-150.19999999999999</v>
      </c>
      <c r="D113" s="114">
        <f>-73.8-77.7</f>
        <v>-151.5</v>
      </c>
      <c r="E113" s="114">
        <f>-68-72</f>
        <v>-140</v>
      </c>
      <c r="F113" s="114"/>
      <c r="G113" s="114">
        <f>-66-71</f>
        <v>-137</v>
      </c>
      <c r="H113" s="114"/>
      <c r="I113" s="114"/>
      <c r="J113" s="114">
        <f>-94-98</f>
        <v>-192</v>
      </c>
      <c r="K113" s="114">
        <f>-86-90</f>
        <v>-176</v>
      </c>
      <c r="L113" s="114">
        <f>-86-90</f>
        <v>-176</v>
      </c>
      <c r="M113" s="114">
        <v>-65</v>
      </c>
      <c r="N113" s="114">
        <v>-107</v>
      </c>
      <c r="O113" s="114">
        <v>-150</v>
      </c>
      <c r="P113" s="114">
        <v>-150</v>
      </c>
      <c r="Q113" s="114">
        <v>-150</v>
      </c>
      <c r="R113" s="114">
        <v>-140</v>
      </c>
      <c r="S113" s="114">
        <v>-186</v>
      </c>
      <c r="T113" s="114">
        <v>-189</v>
      </c>
      <c r="U113" s="114">
        <v>-180</v>
      </c>
      <c r="V113" s="114">
        <v>-117</v>
      </c>
      <c r="W113" s="114">
        <v>-108</v>
      </c>
      <c r="X113" s="114">
        <v>-109</v>
      </c>
      <c r="Y113" s="114">
        <v>-101</v>
      </c>
      <c r="Z113" s="114">
        <v>-100</v>
      </c>
      <c r="AA113" s="114">
        <v>-118</v>
      </c>
      <c r="AB113" s="114">
        <v>-114</v>
      </c>
      <c r="AC113" s="114">
        <v>-114</v>
      </c>
      <c r="AD113" s="114">
        <v>-132</v>
      </c>
      <c r="AE113" s="114">
        <v>-123</v>
      </c>
      <c r="AF113" s="114">
        <v>-123</v>
      </c>
      <c r="AG113" s="113">
        <v>240</v>
      </c>
      <c r="AH113" s="47">
        <f t="shared" si="8"/>
        <v>-65</v>
      </c>
      <c r="AI113" s="48">
        <f t="shared" si="9"/>
        <v>-192</v>
      </c>
    </row>
    <row r="114" spans="1:37" x14ac:dyDescent="0.25">
      <c r="A114" s="102" t="s">
        <v>122</v>
      </c>
      <c r="B114" s="114">
        <v>-4.0999999999999996</v>
      </c>
      <c r="C114" s="114">
        <v>-4.5</v>
      </c>
      <c r="D114" s="114">
        <v>-4.3</v>
      </c>
      <c r="E114" s="114">
        <v>-3.9</v>
      </c>
      <c r="F114" s="114"/>
      <c r="G114" s="114">
        <v>-3.4</v>
      </c>
      <c r="H114" s="114"/>
      <c r="I114" s="114"/>
      <c r="J114" s="114">
        <v>-3.2</v>
      </c>
      <c r="K114" s="114">
        <v>1.1000000000000001</v>
      </c>
      <c r="L114" s="114">
        <v>1.1000000000000001</v>
      </c>
      <c r="M114" s="114">
        <v>22.4</v>
      </c>
      <c r="N114" s="114">
        <v>28.3</v>
      </c>
      <c r="O114" s="114">
        <v>25.5</v>
      </c>
      <c r="P114" s="114">
        <v>25.5</v>
      </c>
      <c r="Q114" s="114">
        <v>7.3</v>
      </c>
      <c r="R114" s="114">
        <v>16</v>
      </c>
      <c r="S114" s="114">
        <v>20.100000000000001</v>
      </c>
      <c r="T114" s="114">
        <v>14.6</v>
      </c>
      <c r="U114" s="114">
        <v>9</v>
      </c>
      <c r="V114" s="114">
        <v>8.5</v>
      </c>
      <c r="W114" s="114">
        <v>8.9</v>
      </c>
      <c r="X114" s="114">
        <v>8.8000000000000007</v>
      </c>
      <c r="Y114" s="114">
        <v>12.3</v>
      </c>
      <c r="Z114" s="114">
        <v>32.299999999999997</v>
      </c>
      <c r="AA114" s="114">
        <v>20.100000000000001</v>
      </c>
      <c r="AB114" s="114">
        <v>9.1</v>
      </c>
      <c r="AC114" s="114">
        <v>9.1</v>
      </c>
      <c r="AD114" s="114">
        <v>4.7</v>
      </c>
      <c r="AE114" s="114">
        <v>4</v>
      </c>
      <c r="AF114" s="114">
        <v>4</v>
      </c>
      <c r="AG114" s="113">
        <v>60</v>
      </c>
      <c r="AH114" s="47">
        <f t="shared" si="8"/>
        <v>32.299999999999997</v>
      </c>
      <c r="AI114" s="48">
        <f t="shared" si="9"/>
        <v>-4.5</v>
      </c>
    </row>
    <row r="115" spans="1:37" x14ac:dyDescent="0.25">
      <c r="A115" s="115" t="s">
        <v>123</v>
      </c>
      <c r="B115" s="116">
        <v>27.2</v>
      </c>
      <c r="C115" s="116">
        <v>27.2</v>
      </c>
      <c r="D115" s="116">
        <v>27.2</v>
      </c>
      <c r="E115" s="116">
        <v>27.2</v>
      </c>
      <c r="F115" s="116"/>
      <c r="G115" s="116">
        <v>23.8</v>
      </c>
      <c r="H115" s="116"/>
      <c r="I115" s="116"/>
      <c r="J115" s="116">
        <v>33.6</v>
      </c>
      <c r="K115" s="116">
        <v>33.6</v>
      </c>
      <c r="L115" s="116">
        <v>33.6</v>
      </c>
      <c r="M115" s="116">
        <v>33.1</v>
      </c>
      <c r="N115" s="116">
        <v>69.599999999999994</v>
      </c>
      <c r="O115" s="116">
        <v>59.7</v>
      </c>
      <c r="P115" s="116">
        <v>59.7</v>
      </c>
      <c r="Q115" s="116">
        <v>45.8</v>
      </c>
      <c r="R115" s="116">
        <v>57</v>
      </c>
      <c r="S115" s="116">
        <v>57.1</v>
      </c>
      <c r="T115" s="116">
        <v>56.8</v>
      </c>
      <c r="U115" s="116">
        <v>45.7</v>
      </c>
      <c r="V115" s="116">
        <v>45.8</v>
      </c>
      <c r="W115" s="116">
        <v>45.9</v>
      </c>
      <c r="X115" s="116">
        <v>45.9</v>
      </c>
      <c r="Y115" s="116">
        <v>57</v>
      </c>
      <c r="Z115" s="116">
        <v>55.9</v>
      </c>
      <c r="AA115" s="116">
        <v>64</v>
      </c>
      <c r="AB115" s="116">
        <v>64</v>
      </c>
      <c r="AC115" s="116">
        <v>64</v>
      </c>
      <c r="AD115" s="116">
        <v>54</v>
      </c>
      <c r="AE115" s="116">
        <v>0</v>
      </c>
      <c r="AF115" s="116">
        <v>0</v>
      </c>
      <c r="AG115" s="117">
        <v>120</v>
      </c>
      <c r="AH115" s="47">
        <f t="shared" si="8"/>
        <v>69.599999999999994</v>
      </c>
      <c r="AI115" s="48">
        <f t="shared" si="9"/>
        <v>0</v>
      </c>
    </row>
    <row r="116" spans="1:37" x14ac:dyDescent="0.25">
      <c r="A116" s="115" t="s">
        <v>124</v>
      </c>
      <c r="B116" s="116">
        <v>32.5</v>
      </c>
      <c r="C116" s="116">
        <v>33.1</v>
      </c>
      <c r="D116" s="116">
        <v>17.8</v>
      </c>
      <c r="E116" s="116">
        <v>32</v>
      </c>
      <c r="F116" s="116"/>
      <c r="G116" s="116">
        <v>35</v>
      </c>
      <c r="H116" s="116"/>
      <c r="I116" s="116"/>
      <c r="J116" s="116">
        <v>1.5</v>
      </c>
      <c r="K116" s="116">
        <v>21.3</v>
      </c>
      <c r="L116" s="116">
        <v>21.3</v>
      </c>
      <c r="M116" s="116">
        <v>9.6999999999999993</v>
      </c>
      <c r="N116" s="116">
        <v>42.3</v>
      </c>
      <c r="O116" s="116">
        <v>38.700000000000003</v>
      </c>
      <c r="P116" s="116">
        <v>38.700000000000003</v>
      </c>
      <c r="Q116" s="116">
        <v>48.2</v>
      </c>
      <c r="R116" s="116">
        <v>30.2</v>
      </c>
      <c r="S116" s="116">
        <v>18.899999999999999</v>
      </c>
      <c r="T116" s="116">
        <v>21.3</v>
      </c>
      <c r="U116" s="116">
        <v>21.3</v>
      </c>
      <c r="V116" s="116">
        <v>7</v>
      </c>
      <c r="W116" s="116">
        <v>19</v>
      </c>
      <c r="X116" s="116">
        <v>4.8</v>
      </c>
      <c r="Y116" s="116">
        <v>13.7</v>
      </c>
      <c r="Z116" s="116">
        <v>10.4</v>
      </c>
      <c r="AA116" s="116">
        <v>22.6</v>
      </c>
      <c r="AB116" s="116">
        <v>29.4</v>
      </c>
      <c r="AC116" s="116">
        <v>29.4</v>
      </c>
      <c r="AD116" s="116">
        <v>18</v>
      </c>
      <c r="AE116" s="116">
        <v>18</v>
      </c>
      <c r="AF116" s="116">
        <v>18</v>
      </c>
      <c r="AG116" s="117"/>
      <c r="AH116" s="47">
        <f t="shared" si="8"/>
        <v>48.2</v>
      </c>
      <c r="AI116" s="48">
        <f t="shared" si="9"/>
        <v>1.5</v>
      </c>
    </row>
    <row r="117" spans="1:37" x14ac:dyDescent="0.25">
      <c r="A117" s="115" t="s">
        <v>125</v>
      </c>
      <c r="B117" s="116">
        <v>-17.100000000000001</v>
      </c>
      <c r="C117" s="116">
        <v>-14.1</v>
      </c>
      <c r="D117" s="116">
        <v>-7.8</v>
      </c>
      <c r="E117" s="116">
        <v>-7.5</v>
      </c>
      <c r="F117" s="116"/>
      <c r="G117" s="116">
        <v>-7.5</v>
      </c>
      <c r="H117" s="116"/>
      <c r="I117" s="116"/>
      <c r="J117" s="116">
        <v>24.5</v>
      </c>
      <c r="K117" s="116">
        <v>26.8</v>
      </c>
      <c r="L117" s="116">
        <v>26.8</v>
      </c>
      <c r="M117" s="116">
        <v>-4.0999999999999996</v>
      </c>
      <c r="N117" s="116">
        <v>16.399999999999999</v>
      </c>
      <c r="O117" s="116">
        <v>15.3</v>
      </c>
      <c r="P117" s="116">
        <v>15.3</v>
      </c>
      <c r="Q117" s="116">
        <v>12.1</v>
      </c>
      <c r="R117" s="116">
        <v>10.8</v>
      </c>
      <c r="S117" s="116">
        <v>14.5</v>
      </c>
      <c r="T117" s="116">
        <v>10.8</v>
      </c>
      <c r="U117" s="116">
        <v>10.8</v>
      </c>
      <c r="V117" s="116">
        <v>-39.4</v>
      </c>
      <c r="W117" s="116">
        <v>-33</v>
      </c>
      <c r="X117" s="116">
        <v>-31.1</v>
      </c>
      <c r="Y117" s="116">
        <v>-36.200000000000003</v>
      </c>
      <c r="Z117" s="116">
        <v>-26.3</v>
      </c>
      <c r="AA117" s="116">
        <v>-22.9</v>
      </c>
      <c r="AB117" s="116">
        <v>-10.1</v>
      </c>
      <c r="AC117" s="116">
        <v>-10.1</v>
      </c>
      <c r="AD117" s="116">
        <v>-20</v>
      </c>
      <c r="AE117" s="116">
        <v>-20</v>
      </c>
      <c r="AF117" s="116">
        <v>-20</v>
      </c>
      <c r="AG117" s="118"/>
      <c r="AH117" s="47">
        <f t="shared" si="8"/>
        <v>26.8</v>
      </c>
      <c r="AI117" s="48">
        <f t="shared" si="9"/>
        <v>-39.4</v>
      </c>
    </row>
    <row r="118" spans="1:37" x14ac:dyDescent="0.25">
      <c r="A118" s="119" t="s">
        <v>126</v>
      </c>
      <c r="B118" s="105">
        <v>38.700000000000003</v>
      </c>
      <c r="C118" s="105">
        <v>19.899999999999999</v>
      </c>
      <c r="D118" s="105">
        <v>38.200000000000003</v>
      </c>
      <c r="E118" s="105">
        <v>49.6</v>
      </c>
      <c r="F118" s="105"/>
      <c r="G118" s="105">
        <v>56.6</v>
      </c>
      <c r="H118" s="105"/>
      <c r="I118" s="105"/>
      <c r="J118" s="105">
        <v>30.9</v>
      </c>
      <c r="K118" s="105">
        <v>35.200000000000003</v>
      </c>
      <c r="L118" s="105">
        <v>35.200000000000003</v>
      </c>
      <c r="M118" s="105">
        <v>41.9</v>
      </c>
      <c r="N118" s="105">
        <v>44.7</v>
      </c>
      <c r="O118" s="105">
        <v>38.700000000000003</v>
      </c>
      <c r="P118" s="105">
        <v>38.700000000000003</v>
      </c>
      <c r="Q118" s="105">
        <v>18</v>
      </c>
      <c r="R118" s="105">
        <v>21.5</v>
      </c>
      <c r="S118" s="105">
        <v>23.1</v>
      </c>
      <c r="T118" s="105">
        <v>12</v>
      </c>
      <c r="U118" s="105">
        <v>12</v>
      </c>
      <c r="V118" s="105">
        <v>23.9</v>
      </c>
      <c r="W118" s="105">
        <v>19.600000000000001</v>
      </c>
      <c r="X118" s="105">
        <v>30.7</v>
      </c>
      <c r="Y118" s="105">
        <v>20</v>
      </c>
      <c r="Z118" s="105">
        <v>15</v>
      </c>
      <c r="AA118" s="105">
        <v>14.5</v>
      </c>
      <c r="AB118" s="105">
        <v>22</v>
      </c>
      <c r="AC118" s="105">
        <v>22</v>
      </c>
      <c r="AD118" s="105">
        <v>22.3</v>
      </c>
      <c r="AE118" s="105">
        <v>22.3</v>
      </c>
      <c r="AF118" s="105">
        <v>22.3</v>
      </c>
      <c r="AG118" s="118"/>
      <c r="AH118" s="47">
        <f t="shared" si="8"/>
        <v>56.6</v>
      </c>
      <c r="AI118" s="48">
        <f t="shared" si="9"/>
        <v>12</v>
      </c>
    </row>
    <row r="119" spans="1:37" x14ac:dyDescent="0.25">
      <c r="A119" s="120" t="s">
        <v>127</v>
      </c>
      <c r="B119" s="105">
        <v>105.7</v>
      </c>
      <c r="C119" s="105">
        <v>107.3</v>
      </c>
      <c r="D119" s="105">
        <v>105.9</v>
      </c>
      <c r="E119" s="105">
        <v>103.4</v>
      </c>
      <c r="F119" s="105"/>
      <c r="G119" s="105">
        <v>104.5</v>
      </c>
      <c r="H119" s="105"/>
      <c r="I119" s="105"/>
      <c r="J119" s="105">
        <v>100.5</v>
      </c>
      <c r="K119" s="105">
        <v>96.9</v>
      </c>
      <c r="L119" s="105">
        <v>96.9</v>
      </c>
      <c r="M119" s="105">
        <v>73.599999999999994</v>
      </c>
      <c r="N119" s="105">
        <v>85.4</v>
      </c>
      <c r="O119" s="105">
        <v>87.9</v>
      </c>
      <c r="P119" s="105">
        <v>87.9</v>
      </c>
      <c r="Q119" s="105">
        <v>74.7</v>
      </c>
      <c r="R119" s="105">
        <v>79.3</v>
      </c>
      <c r="S119" s="105">
        <v>95</v>
      </c>
      <c r="T119" s="105">
        <v>91.6</v>
      </c>
      <c r="U119" s="105">
        <v>91.6</v>
      </c>
      <c r="V119" s="105">
        <v>98.5</v>
      </c>
      <c r="W119" s="105">
        <v>86.5</v>
      </c>
      <c r="X119" s="105">
        <v>92.9</v>
      </c>
      <c r="Y119" s="105">
        <v>91.1</v>
      </c>
      <c r="Z119" s="105">
        <v>83.6</v>
      </c>
      <c r="AA119" s="105">
        <v>96.5</v>
      </c>
      <c r="AB119" s="105">
        <v>91</v>
      </c>
      <c r="AC119" s="105">
        <v>91</v>
      </c>
      <c r="AD119" s="105">
        <v>99</v>
      </c>
      <c r="AE119" s="105">
        <v>99</v>
      </c>
      <c r="AF119" s="105">
        <v>99</v>
      </c>
      <c r="AG119" s="118"/>
      <c r="AH119" s="47">
        <f t="shared" si="8"/>
        <v>107.3</v>
      </c>
      <c r="AI119" s="48">
        <f t="shared" si="9"/>
        <v>73.599999999999994</v>
      </c>
    </row>
    <row r="120" spans="1:37" ht="15.75" thickBot="1" x14ac:dyDescent="0.3">
      <c r="A120" s="119" t="s">
        <v>128</v>
      </c>
      <c r="B120" s="105">
        <v>24.3</v>
      </c>
      <c r="C120" s="105">
        <v>24.3</v>
      </c>
      <c r="D120" s="105">
        <v>29.8</v>
      </c>
      <c r="E120" s="105">
        <v>24.5</v>
      </c>
      <c r="F120" s="105"/>
      <c r="G120" s="105">
        <v>17.100000000000001</v>
      </c>
      <c r="H120" s="105"/>
      <c r="I120" s="105"/>
      <c r="J120" s="105">
        <v>27.1</v>
      </c>
      <c r="K120" s="105">
        <v>20.5</v>
      </c>
      <c r="L120" s="105">
        <v>20.5</v>
      </c>
      <c r="M120" s="105">
        <v>24.4</v>
      </c>
      <c r="N120" s="105">
        <v>82.3</v>
      </c>
      <c r="O120" s="105">
        <v>44.8</v>
      </c>
      <c r="P120" s="105">
        <v>44.8</v>
      </c>
      <c r="Q120" s="105">
        <v>-45</v>
      </c>
      <c r="R120" s="105">
        <v>47.8</v>
      </c>
      <c r="S120" s="105">
        <v>61.5</v>
      </c>
      <c r="T120" s="105">
        <v>58.9</v>
      </c>
      <c r="U120" s="105">
        <v>58.9</v>
      </c>
      <c r="V120" s="105">
        <v>35.6</v>
      </c>
      <c r="W120" s="105">
        <v>34</v>
      </c>
      <c r="X120" s="105">
        <v>13.6</v>
      </c>
      <c r="Y120" s="105">
        <v>41.2</v>
      </c>
      <c r="Z120" s="105">
        <v>56.3</v>
      </c>
      <c r="AA120" s="105">
        <v>38.299999999999997</v>
      </c>
      <c r="AB120" s="105">
        <v>48</v>
      </c>
      <c r="AC120" s="105">
        <v>48</v>
      </c>
      <c r="AD120" s="105">
        <v>47</v>
      </c>
      <c r="AE120" s="105">
        <v>47</v>
      </c>
      <c r="AF120" s="105">
        <v>47</v>
      </c>
      <c r="AG120" s="118"/>
      <c r="AH120" s="47">
        <f t="shared" si="8"/>
        <v>82.3</v>
      </c>
      <c r="AI120" s="48">
        <f t="shared" si="9"/>
        <v>-45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2030.5300000000002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2015.0299999999997</v>
      </c>
      <c r="U249" s="170">
        <f t="shared" si="22"/>
        <v>1999.53</v>
      </c>
      <c r="V249" s="170">
        <f t="shared" si="22"/>
        <v>1998.0300000000002</v>
      </c>
      <c r="W249" s="170">
        <f t="shared" si="22"/>
        <v>1972.3300000000002</v>
      </c>
      <c r="X249" s="170">
        <f t="shared" si="22"/>
        <v>1910.7299999999998</v>
      </c>
      <c r="Y249" s="170">
        <f t="shared" si="22"/>
        <v>2010.6299999999999</v>
      </c>
      <c r="Z249" s="170">
        <f t="shared" si="22"/>
        <v>1996.6299999999999</v>
      </c>
      <c r="AA249" s="170">
        <f t="shared" si="22"/>
        <v>2003.6299999999999</v>
      </c>
      <c r="AB249" s="170">
        <f t="shared" si="22"/>
        <v>1994.13</v>
      </c>
      <c r="AC249" s="170">
        <f t="shared" si="22"/>
        <v>2029.0299999999997</v>
      </c>
      <c r="AD249" s="170">
        <f t="shared" si="22"/>
        <v>2029.0299999999997</v>
      </c>
      <c r="AE249" s="170">
        <f t="shared" si="22"/>
        <v>2030.5300000000002</v>
      </c>
      <c r="AF249" s="170">
        <f t="shared" si="22"/>
        <v>1979.5299999999997</v>
      </c>
      <c r="AG249" s="170">
        <f t="shared" si="22"/>
        <v>2002.2299999999998</v>
      </c>
      <c r="AH249" s="170">
        <f t="shared" si="22"/>
        <v>2047.4299999999998</v>
      </c>
      <c r="AI249" s="170">
        <f t="shared" si="22"/>
        <v>2075.0299999999997</v>
      </c>
      <c r="AJ249" s="170">
        <f t="shared" si="22"/>
        <v>2052.4299999999998</v>
      </c>
      <c r="AK249" s="170">
        <f t="shared" si="22"/>
        <v>2079.5700000000002</v>
      </c>
      <c r="AL249" s="170">
        <f t="shared" si="22"/>
        <v>2082.27</v>
      </c>
      <c r="AM249" s="170">
        <f t="shared" si="22"/>
        <v>2088.67</v>
      </c>
      <c r="AN249" s="170">
        <f t="shared" si="22"/>
        <v>2125.87</v>
      </c>
      <c r="AO249" s="170">
        <f t="shared" si="22"/>
        <v>2120.77</v>
      </c>
      <c r="AP249" s="170">
        <f t="shared" si="22"/>
        <v>2135.0700000000002</v>
      </c>
      <c r="AQ249" s="170">
        <f t="shared" si="22"/>
        <v>2144.0700000000002</v>
      </c>
      <c r="AR249" s="170">
        <f t="shared" si="22"/>
        <v>2238.4700000000003</v>
      </c>
      <c r="AS249" s="170">
        <f t="shared" si="22"/>
        <v>2227.3700000000003</v>
      </c>
      <c r="AT249" s="170">
        <f t="shared" si="22"/>
        <v>2200.4700000000003</v>
      </c>
      <c r="AU249" s="170">
        <f t="shared" si="22"/>
        <v>2188.5700000000002</v>
      </c>
      <c r="AV249" s="170">
        <f t="shared" si="22"/>
        <v>2170.0700000000002</v>
      </c>
      <c r="AW249" s="170">
        <f t="shared" si="22"/>
        <v>2036.67</v>
      </c>
      <c r="AX249" s="170">
        <f t="shared" si="22"/>
        <v>2074.0700000000002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025" priority="115">
      <formula>$AH11=0</formula>
    </cfRule>
  </conditionalFormatting>
  <conditionalFormatting sqref="B8 M8 S8 AB8">
    <cfRule type="expression" dxfId="2024" priority="167">
      <formula>AND(C$9&gt;=8/24,C$9&lt;14/24)</formula>
    </cfRule>
    <cfRule type="expression" dxfId="2023" priority="166">
      <formula>AND(C$9&gt;=14/24,C$9&lt;20/24)</formula>
    </cfRule>
    <cfRule type="expression" dxfId="2022" priority="168">
      <formula>C$9&lt;8/24</formula>
    </cfRule>
  </conditionalFormatting>
  <conditionalFormatting sqref="B55:E66 F59:R66">
    <cfRule type="expression" dxfId="2021" priority="6">
      <formula>B$9&gt;=20/24</formula>
    </cfRule>
    <cfRule type="expression" dxfId="2020" priority="7">
      <formula>AND(B$9&gt;=14/24,B$9&lt;20/24)</formula>
    </cfRule>
    <cfRule type="expression" dxfId="2019" priority="8">
      <formula>AND(B$9&gt;=8/24,B$9&lt;14/24)</formula>
    </cfRule>
    <cfRule type="expression" dxfId="2018" priority="9">
      <formula>B$9&lt;8/24</formula>
    </cfRule>
  </conditionalFormatting>
  <conditionalFormatting sqref="B9:AF45">
    <cfRule type="expression" dxfId="2017" priority="23">
      <formula>B$9&gt;=20/24</formula>
    </cfRule>
    <cfRule type="expression" dxfId="2016" priority="24">
      <formula>AND(B$9&gt;=14/24,B$9&lt;20/24)</formula>
    </cfRule>
    <cfRule type="expression" dxfId="2015" priority="25">
      <formula>AND(B$9&gt;=8/24,B$9&lt;14/24)</formula>
    </cfRule>
    <cfRule type="expression" dxfId="2014" priority="26">
      <formula>B$9&lt;8/24</formula>
    </cfRule>
  </conditionalFormatting>
  <conditionalFormatting sqref="B11:AF46">
    <cfRule type="expression" dxfId="2013" priority="22">
      <formula>B11&gt;$AG11</formula>
    </cfRule>
  </conditionalFormatting>
  <conditionalFormatting sqref="B46:AF46">
    <cfRule type="expression" dxfId="2012" priority="20">
      <formula>AND(B$9&gt;=8/24,B$9&lt;14/24)</formula>
    </cfRule>
    <cfRule type="expression" dxfId="2011" priority="18">
      <formula>B$9&gt;=20/24</formula>
    </cfRule>
    <cfRule type="expression" dxfId="2010" priority="19">
      <formula>AND(B$9&gt;=14/24,B$9&lt;20/24)</formula>
    </cfRule>
    <cfRule type="expression" dxfId="2009" priority="21">
      <formula>B$9&lt;8/24</formula>
    </cfRule>
  </conditionalFormatting>
  <conditionalFormatting sqref="B47:AF47">
    <cfRule type="expression" dxfId="2008" priority="32">
      <formula>B47&gt;$AG47</formula>
    </cfRule>
  </conditionalFormatting>
  <conditionalFormatting sqref="B47:AF49">
    <cfRule type="expression" dxfId="2007" priority="28">
      <formula>B$9&gt;=20/24</formula>
    </cfRule>
    <cfRule type="expression" dxfId="2006" priority="29">
      <formula>AND(B$9&gt;=14/24,B$9&lt;20/24)</formula>
    </cfRule>
    <cfRule type="expression" dxfId="2005" priority="30">
      <formula>AND(B$9&gt;=8/24,B$9&lt;14/24)</formula>
    </cfRule>
    <cfRule type="expression" dxfId="2004" priority="31">
      <formula>B$9&lt;8/24</formula>
    </cfRule>
  </conditionalFormatting>
  <conditionalFormatting sqref="B48:AF53">
    <cfRule type="expression" dxfId="2003" priority="27">
      <formula>B48&gt;$AG48</formula>
    </cfRule>
  </conditionalFormatting>
  <conditionalFormatting sqref="B51:AF53">
    <cfRule type="expression" dxfId="2002" priority="38">
      <formula>B$9&gt;=20/24</formula>
    </cfRule>
    <cfRule type="expression" dxfId="2001" priority="40">
      <formula>AND(B$9&gt;=8/24,B$9&lt;14/24)</formula>
    </cfRule>
    <cfRule type="expression" dxfId="2000" priority="41">
      <formula>B$9&lt;8/24</formula>
    </cfRule>
    <cfRule type="expression" dxfId="1999" priority="39">
      <formula>AND(B$9&gt;=14/24,B$9&lt;20/24)</formula>
    </cfRule>
  </conditionalFormatting>
  <conditionalFormatting sqref="B55:AF66">
    <cfRule type="expression" dxfId="1998" priority="5">
      <formula>B55&gt;$AG55</formula>
    </cfRule>
  </conditionalFormatting>
  <conditionalFormatting sqref="B69:AF71">
    <cfRule type="expression" dxfId="1997" priority="42">
      <formula>B69&gt;$AG69</formula>
    </cfRule>
    <cfRule type="expression" dxfId="1996" priority="43">
      <formula>B$9&gt;=20/24</formula>
    </cfRule>
    <cfRule type="expression" dxfId="1995" priority="45">
      <formula>AND(B$9&gt;=8/24,B$9&lt;14/24)</formula>
    </cfRule>
    <cfRule type="expression" dxfId="1994" priority="46">
      <formula>B$9&lt;8/24</formula>
    </cfRule>
    <cfRule type="expression" dxfId="1993" priority="44">
      <formula>AND(B$9&gt;=14/24,B$9&lt;20/24)</formula>
    </cfRule>
  </conditionalFormatting>
  <conditionalFormatting sqref="B73:AF91">
    <cfRule type="expression" dxfId="1992" priority="2">
      <formula>AND(B$9&gt;=14/24,B$9&lt;20/24)</formula>
    </cfRule>
    <cfRule type="expression" dxfId="1991" priority="3">
      <formula>AND(B$9&gt;=8/24,B$9&lt;14/24)</formula>
    </cfRule>
    <cfRule type="expression" dxfId="1990" priority="4">
      <formula>B$9&lt;8/24</formula>
    </cfRule>
    <cfRule type="expression" dxfId="1989" priority="1">
      <formula>B$9&gt;=20/24</formula>
    </cfRule>
  </conditionalFormatting>
  <conditionalFormatting sqref="B111:AF120">
    <cfRule type="expression" dxfId="1988" priority="14">
      <formula>B$9&gt;=20/24</formula>
    </cfRule>
    <cfRule type="expression" dxfId="1987" priority="16">
      <formula>AND(B$9&gt;=8/24,B$9&lt;14/24)</formula>
    </cfRule>
    <cfRule type="expression" dxfId="1986" priority="17">
      <formula>B$9&lt;8/24</formula>
    </cfRule>
    <cfRule type="expression" dxfId="1985" priority="15">
      <formula>AND(B$9&gt;=14/24,B$9&lt;20/24)</formula>
    </cfRule>
  </conditionalFormatting>
  <conditionalFormatting sqref="B227:AF227 D229:AF230 B229:B235 D231:H231 J231:AF231 D232:AF235 U248:AF248">
    <cfRule type="expression" dxfId="1984" priority="162">
      <formula>B$9&lt;8/24</formula>
    </cfRule>
    <cfRule type="expression" dxfId="1983" priority="160">
      <formula>AND(B$9&gt;=14/24,B$9&lt;20/24)</formula>
    </cfRule>
    <cfRule type="expression" dxfId="1982" priority="159">
      <formula>B$9&gt;=20/24</formula>
    </cfRule>
    <cfRule type="expression" dxfId="1981" priority="161">
      <formula>AND(B$9&gt;=8/24,B$9&lt;14/24)</formula>
    </cfRule>
  </conditionalFormatting>
  <conditionalFormatting sqref="B54:AG54">
    <cfRule type="expression" dxfId="1980" priority="50">
      <formula>AND(B$9&gt;=8/24,B$9&lt;14/24)</formula>
    </cfRule>
    <cfRule type="expression" dxfId="1979" priority="51">
      <formula>B$9&lt;8/24</formula>
    </cfRule>
    <cfRule type="expression" dxfId="1978" priority="47">
      <formula>B54&gt;$AG54</formula>
    </cfRule>
    <cfRule type="expression" dxfId="1977" priority="48">
      <formula>B$9&gt;=20/24</formula>
    </cfRule>
    <cfRule type="expression" dxfId="1976" priority="49">
      <formula>AND(B$9&gt;=14/24,B$9&lt;20/24)</formula>
    </cfRule>
  </conditionalFormatting>
  <conditionalFormatting sqref="B67:AG68 B72:AG72">
    <cfRule type="expression" dxfId="1975" priority="33">
      <formula>B67&gt;$AG67</formula>
    </cfRule>
  </conditionalFormatting>
  <conditionalFormatting sqref="B72:AG72 B93:AF109">
    <cfRule type="expression" dxfId="1974" priority="37">
      <formula>B$9&lt;8/24</formula>
    </cfRule>
    <cfRule type="expression" dxfId="1973" priority="36">
      <formula>AND(B$9&gt;=8/24,B$9&lt;14/24)</formula>
    </cfRule>
    <cfRule type="expression" dxfId="1972" priority="35">
      <formula>AND(B$9&gt;=14/24,B$9&lt;20/24)</formula>
    </cfRule>
    <cfRule type="expression" dxfId="1971" priority="34">
      <formula>B$9&gt;=20/24</formula>
    </cfRule>
  </conditionalFormatting>
  <conditionalFormatting sqref="E55:R57">
    <cfRule type="expression" dxfId="1970" priority="140">
      <formula>E$9&gt;=20/24</formula>
    </cfRule>
    <cfRule type="expression" dxfId="1969" priority="141">
      <formula>AND(E$9&gt;=14/24,E$9&lt;20/24)</formula>
    </cfRule>
    <cfRule type="expression" dxfId="1968" priority="142">
      <formula>AND(E$9&gt;=8/24,E$9&lt;14/24)</formula>
    </cfRule>
    <cfRule type="expression" dxfId="1967" priority="143">
      <formula>E$9&lt;8/24</formula>
    </cfRule>
  </conditionalFormatting>
  <conditionalFormatting sqref="E60:R60">
    <cfRule type="expression" dxfId="1966" priority="102">
      <formula>E$9&gt;=20/24</formula>
    </cfRule>
    <cfRule type="expression" dxfId="1965" priority="103">
      <formula>AND(E$9&gt;=14/24,E$9&lt;20/24)</formula>
    </cfRule>
    <cfRule type="expression" dxfId="1964" priority="104">
      <formula>AND(E$9&gt;=8/24,E$9&lt;14/24)</formula>
    </cfRule>
    <cfRule type="expression" dxfId="1963" priority="105">
      <formula>E$9&lt;8/24</formula>
    </cfRule>
  </conditionalFormatting>
  <conditionalFormatting sqref="E61:AF66">
    <cfRule type="expression" dxfId="1962" priority="60">
      <formula>E$9&lt;8/24</formula>
    </cfRule>
    <cfRule type="expression" dxfId="1961" priority="57">
      <formula>E$9&gt;=20/24</formula>
    </cfRule>
    <cfRule type="expression" dxfId="1960" priority="58">
      <formula>AND(E$9&gt;=14/24,E$9&lt;20/24)</formula>
    </cfRule>
    <cfRule type="expression" dxfId="1959" priority="59">
      <formula>AND(E$9&gt;=8/24,E$9&lt;14/24)</formula>
    </cfRule>
  </conditionalFormatting>
  <conditionalFormatting sqref="M55:R59">
    <cfRule type="expression" dxfId="1958" priority="144">
      <formula>M$9&gt;=20/24</formula>
    </cfRule>
    <cfRule type="expression" dxfId="1957" priority="145">
      <formula>AND(M$9&gt;=14/24,M$9&lt;20/24)</formula>
    </cfRule>
    <cfRule type="expression" dxfId="1956" priority="146">
      <formula>AND(M$9&gt;=8/24,M$9&lt;14/24)</formula>
    </cfRule>
    <cfRule type="expression" dxfId="1955" priority="147">
      <formula>M$9&lt;8/24</formula>
    </cfRule>
  </conditionalFormatting>
  <conditionalFormatting sqref="O3:P3">
    <cfRule type="iconSet" priority="163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954" priority="165">
      <formula>C$9&gt;=20/24</formula>
    </cfRule>
  </conditionalFormatting>
  <conditionalFormatting sqref="S8">
    <cfRule type="expression" dxfId="1953" priority="153">
      <formula>AND(U$9&gt;=14/24,U$9&lt;20/24)</formula>
    </cfRule>
    <cfRule type="expression" dxfId="1952" priority="152">
      <formula>U$9&gt;=20/24</formula>
    </cfRule>
    <cfRule type="expression" dxfId="1951" priority="154">
      <formula>AND(U$9&gt;=8/24,U$9&lt;14/24)</formula>
    </cfRule>
    <cfRule type="expression" dxfId="1950" priority="155">
      <formula>U$9&lt;8/24</formula>
    </cfRule>
  </conditionalFormatting>
  <conditionalFormatting sqref="S55:AF60">
    <cfRule type="expression" dxfId="1949" priority="61">
      <formula>S$9&gt;=20/24</formula>
    </cfRule>
    <cfRule type="expression" dxfId="1948" priority="62">
      <formula>AND(S$9&gt;=14/24,S$9&lt;20/24)</formula>
    </cfRule>
    <cfRule type="expression" dxfId="1947" priority="63">
      <formula>AND(S$9&gt;=8/24,S$9&lt;14/24)</formula>
    </cfRule>
    <cfRule type="expression" dxfId="1946" priority="64">
      <formula>S$9&lt;8/24</formula>
    </cfRule>
  </conditionalFormatting>
  <conditionalFormatting sqref="T248">
    <cfRule type="expression" dxfId="1945" priority="180">
      <formula>AX$9&lt;8/24</formula>
    </cfRule>
    <cfRule type="expression" dxfId="1944" priority="177">
      <formula>AX$9&gt;=20/24</formula>
    </cfRule>
    <cfRule type="expression" dxfId="1943" priority="178">
      <formula>AND(AX$9&gt;=14/24,AX$9&lt;20/24)</formula>
    </cfRule>
    <cfRule type="expression" dxfId="1942" priority="179">
      <formula>AND(AX$9&gt;=8/24,AX$9&lt;14/24)</formula>
    </cfRule>
  </conditionalFormatting>
  <conditionalFormatting sqref="V3 AB3">
    <cfRule type="iconSet" priority="164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941" priority="151">
      <formula>AD$9&lt;8/24</formula>
    </cfRule>
    <cfRule type="expression" dxfId="1940" priority="148">
      <formula>AD$9&gt;=20/24</formula>
    </cfRule>
    <cfRule type="expression" dxfId="1939" priority="150">
      <formula>AND(AD$9&gt;=8/24,AD$9&lt;14/24)</formula>
    </cfRule>
    <cfRule type="expression" dxfId="1938" priority="149">
      <formula>AND(AD$9&gt;=14/24,AD$9&lt;20/24)</formula>
    </cfRule>
  </conditionalFormatting>
  <conditionalFormatting sqref="AG50">
    <cfRule type="expression" dxfId="1937" priority="135">
      <formula>AG50&gt;$AG50</formula>
    </cfRule>
  </conditionalFormatting>
  <conditionalFormatting sqref="AG89">
    <cfRule type="expression" dxfId="1936" priority="136">
      <formula>AG$9&gt;=20/24</formula>
    </cfRule>
    <cfRule type="expression" dxfId="1935" priority="137">
      <formula>AND(AG$9&gt;=14/24,AG$9&lt;20/24)</formula>
    </cfRule>
    <cfRule type="expression" dxfId="1934" priority="139">
      <formula>AG$9&lt;8/24</formula>
    </cfRule>
    <cfRule type="expression" dxfId="1933" priority="138">
      <formula>AND(AG$9&gt;=8/24,AG$9&lt;14/24)</formula>
    </cfRule>
  </conditionalFormatting>
  <conditionalFormatting sqref="AG248">
    <cfRule type="expression" dxfId="1932" priority="169">
      <formula>B$9&gt;=20/24</formula>
    </cfRule>
    <cfRule type="expression" dxfId="1931" priority="170">
      <formula>AND(B$9&gt;=14/24,B$9&lt;20/24)</formula>
    </cfRule>
    <cfRule type="expression" dxfId="1930" priority="171">
      <formula>AND(B$9&gt;=8/24,B$9&lt;14/24)</formula>
    </cfRule>
    <cfRule type="expression" dxfId="1929" priority="172">
      <formula>B$9&lt;8/24</formula>
    </cfRule>
  </conditionalFormatting>
  <conditionalFormatting sqref="AH248:AX248">
    <cfRule type="expression" dxfId="1928" priority="173">
      <formula>AG$9&gt;=20/24</formula>
    </cfRule>
    <cfRule type="expression" dxfId="1927" priority="174">
      <formula>AND(AG$9&gt;=14/24,AG$9&lt;20/24)</formula>
    </cfRule>
    <cfRule type="expression" dxfId="1926" priority="175">
      <formula>AND(AG$9&gt;=8/24,AG$9&lt;14/24)</formula>
    </cfRule>
    <cfRule type="expression" dxfId="1925" priority="176">
      <formula>AG$9&lt;8/24</formula>
    </cfRule>
  </conditionalFormatting>
  <conditionalFormatting sqref="AL4:AL6">
    <cfRule type="iconSet" priority="158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18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2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56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1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924" priority="182">
      <formula>AJ$9&gt;=20/24</formula>
    </cfRule>
    <cfRule type="expression" dxfId="1923" priority="183">
      <formula>AND(AJ$9&gt;=14/24,AJ$9&lt;20/24)</formula>
    </cfRule>
    <cfRule type="expression" dxfId="1922" priority="184">
      <formula>AND(AJ$9&gt;=8/24,AJ$9&lt;14/24)</formula>
    </cfRule>
    <cfRule type="expression" dxfId="1921" priority="185">
      <formula>AJ$9&lt;8/24</formula>
    </cfRule>
  </conditionalFormatting>
  <conditionalFormatting sqref="AL80:AN80 AL86:AN86">
    <cfRule type="expression" dxfId="1920" priority="123">
      <formula>AL$9&gt;=20/24</formula>
    </cfRule>
    <cfRule type="expression" dxfId="1919" priority="124">
      <formula>AND(AL$9&gt;=14/24,AL$9&lt;20/24)</formula>
    </cfRule>
    <cfRule type="expression" dxfId="1918" priority="125">
      <formula>AND(AL$9&gt;=8/24,AL$9&lt;14/24)</formula>
    </cfRule>
    <cfRule type="expression" dxfId="1917" priority="126">
      <formula>AL$9&lt;8/24</formula>
    </cfRule>
  </conditionalFormatting>
  <conditionalFormatting sqref="AN81:AN84">
    <cfRule type="expression" dxfId="1916" priority="119">
      <formula>AN$9&gt;=20/24</formula>
    </cfRule>
    <cfRule type="expression" dxfId="1915" priority="120">
      <formula>AND(AN$9&gt;=14/24,AN$9&lt;20/24)</formula>
    </cfRule>
    <cfRule type="expression" dxfId="1914" priority="121">
      <formula>AND(AN$9&gt;=8/24,AN$9&lt;14/24)</formula>
    </cfRule>
    <cfRule type="expression" dxfId="1913" priority="122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CAA4-168A-401D-A518-A05230722D3A}">
  <sheetPr codeName="Sheet20"/>
  <dimension ref="A1:CJ281"/>
  <sheetViews>
    <sheetView zoomScaleNormal="100" workbookViewId="0">
      <pane xSplit="1" ySplit="10" topLeftCell="G6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G50" sqref="AG5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2080/05/18</v>
      </c>
      <c r="C4" s="196"/>
      <c r="D4" s="196"/>
      <c r="E4" s="197" t="str">
        <f ca="1">"2080/"&amp;"05/"&amp;INT(MID(CELL("filename",G6),FIND("]",CELL("filename",G6))+1,200))</f>
        <v>2080/05/18</v>
      </c>
      <c r="F4" s="197"/>
      <c r="G4" s="197"/>
      <c r="H4" s="197" t="str">
        <f ca="1">TEXT(E4,"dddd")</f>
        <v>Saturday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4.5999999999999996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50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8</v>
      </c>
      <c r="O5" s="30">
        <f t="shared" si="0"/>
        <v>8</v>
      </c>
      <c r="P5" s="30">
        <f t="shared" si="0"/>
        <v>38.5</v>
      </c>
      <c r="Q5" s="30">
        <f t="shared" si="0"/>
        <v>51.4</v>
      </c>
      <c r="R5" s="30">
        <f t="shared" si="0"/>
        <v>25.5</v>
      </c>
      <c r="S5" s="30">
        <f t="shared" si="0"/>
        <v>54.2</v>
      </c>
      <c r="T5" s="30">
        <f t="shared" si="0"/>
        <v>30.3</v>
      </c>
      <c r="U5" s="30">
        <f t="shared" si="0"/>
        <v>33.4</v>
      </c>
      <c r="V5" s="30">
        <f t="shared" si="0"/>
        <v>31.2</v>
      </c>
      <c r="W5" s="30">
        <f t="shared" si="0"/>
        <v>20.7</v>
      </c>
      <c r="X5" s="30">
        <f t="shared" si="0"/>
        <v>30.6</v>
      </c>
      <c r="Y5" s="30">
        <f t="shared" si="0"/>
        <v>32.4</v>
      </c>
      <c r="Z5" s="30">
        <f t="shared" si="0"/>
        <v>47.1</v>
      </c>
      <c r="AA5" s="30">
        <f t="shared" si="0"/>
        <v>51.9</v>
      </c>
      <c r="AB5" s="30">
        <f t="shared" si="0"/>
        <v>22.1</v>
      </c>
      <c r="AC5" s="30">
        <f t="shared" si="0"/>
        <v>15.1</v>
      </c>
      <c r="AD5" s="30">
        <f t="shared" si="0"/>
        <v>17.7</v>
      </c>
      <c r="AE5" s="30">
        <f t="shared" si="0"/>
        <v>7.4</v>
      </c>
      <c r="AF5" s="30">
        <f>B84</f>
        <v>5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2066MW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Load=1959</v>
      </c>
      <c r="B7" s="35">
        <f t="shared" ref="B7:AF7" si="1">B91</f>
        <v>2066.9700000000003</v>
      </c>
      <c r="C7" s="35">
        <f t="shared" si="1"/>
        <v>2015.0700000000002</v>
      </c>
      <c r="D7" s="35">
        <f t="shared" si="1"/>
        <v>2009.4700000000003</v>
      </c>
      <c r="E7" s="35">
        <f t="shared" si="1"/>
        <v>1999.17</v>
      </c>
      <c r="F7" s="35">
        <f t="shared" si="1"/>
        <v>1959.3700000000001</v>
      </c>
      <c r="G7" s="35">
        <f t="shared" si="1"/>
        <v>1970.4700000000003</v>
      </c>
      <c r="H7" s="35">
        <f t="shared" si="1"/>
        <v>1980.9700000000003</v>
      </c>
      <c r="I7" s="35">
        <f t="shared" si="1"/>
        <v>2000.8700000000003</v>
      </c>
      <c r="J7" s="35">
        <f t="shared" si="1"/>
        <v>2045.7400000000002</v>
      </c>
      <c r="K7" s="35">
        <f t="shared" si="1"/>
        <v>2028.4400000000003</v>
      </c>
      <c r="L7" s="35">
        <f t="shared" si="1"/>
        <v>2030.8400000000001</v>
      </c>
      <c r="M7" s="35">
        <f t="shared" si="1"/>
        <v>2050.54</v>
      </c>
      <c r="N7" s="35">
        <f>N91</f>
        <v>2065.94</v>
      </c>
      <c r="O7" s="35">
        <f t="shared" si="1"/>
        <v>2089.8399999999997</v>
      </c>
      <c r="P7" s="35">
        <f t="shared" si="1"/>
        <v>2111.14</v>
      </c>
      <c r="Q7" s="35">
        <f t="shared" si="1"/>
        <v>2190.64</v>
      </c>
      <c r="R7" s="35">
        <f t="shared" si="1"/>
        <v>2186.14</v>
      </c>
      <c r="S7" s="35">
        <f t="shared" si="1"/>
        <v>2142.7400000000002</v>
      </c>
      <c r="T7" s="35">
        <f t="shared" si="1"/>
        <v>2142.64</v>
      </c>
      <c r="U7" s="35">
        <f t="shared" si="1"/>
        <v>2116.84</v>
      </c>
      <c r="V7" s="35">
        <f t="shared" si="1"/>
        <v>2078.94</v>
      </c>
      <c r="W7" s="35">
        <f t="shared" si="1"/>
        <v>2076.84</v>
      </c>
      <c r="X7" s="35">
        <f t="shared" si="1"/>
        <v>2086.54</v>
      </c>
      <c r="Y7" s="35">
        <f t="shared" si="1"/>
        <v>2155.14</v>
      </c>
      <c r="Z7" s="35">
        <f t="shared" si="1"/>
        <v>2190.54</v>
      </c>
      <c r="AA7" s="35">
        <f t="shared" si="1"/>
        <v>2257.8399999999997</v>
      </c>
      <c r="AB7" s="35">
        <f t="shared" si="1"/>
        <v>2203.64</v>
      </c>
      <c r="AC7" s="35">
        <f t="shared" si="1"/>
        <v>2176.8399999999997</v>
      </c>
      <c r="AD7" s="35">
        <f t="shared" si="1"/>
        <v>2146.14</v>
      </c>
      <c r="AE7" s="35">
        <f t="shared" si="1"/>
        <v>2098.54</v>
      </c>
      <c r="AF7" s="35">
        <f t="shared" si="1"/>
        <v>2092.0400000000004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90.3</v>
      </c>
      <c r="F11" s="45">
        <v>90.3</v>
      </c>
      <c r="G11" s="45">
        <v>90.3</v>
      </c>
      <c r="H11" s="45">
        <v>90.3</v>
      </c>
      <c r="I11" s="45">
        <v>90.3</v>
      </c>
      <c r="J11" s="45">
        <v>90.3</v>
      </c>
      <c r="K11" s="45">
        <v>90.3</v>
      </c>
      <c r="L11" s="45">
        <v>90.3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90.2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9</v>
      </c>
      <c r="C12" s="45">
        <v>9</v>
      </c>
      <c r="D12" s="45">
        <v>9</v>
      </c>
      <c r="E12" s="45">
        <v>0</v>
      </c>
      <c r="F12" s="45">
        <v>9</v>
      </c>
      <c r="G12" s="45">
        <v>0</v>
      </c>
      <c r="H12" s="45">
        <v>0</v>
      </c>
      <c r="I12" s="45">
        <v>0</v>
      </c>
      <c r="J12" s="45">
        <v>9</v>
      </c>
      <c r="K12" s="45">
        <v>9</v>
      </c>
      <c r="L12" s="45">
        <v>13</v>
      </c>
      <c r="M12" s="45">
        <v>13</v>
      </c>
      <c r="N12" s="45">
        <v>13</v>
      </c>
      <c r="O12" s="45">
        <v>9</v>
      </c>
      <c r="P12" s="45">
        <v>9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8</v>
      </c>
      <c r="Y12" s="45">
        <v>13</v>
      </c>
      <c r="Z12" s="45">
        <v>26</v>
      </c>
      <c r="AA12" s="45">
        <v>26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26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54.5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50.7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47.2</v>
      </c>
      <c r="C15" s="45">
        <v>47.2</v>
      </c>
      <c r="D15" s="45">
        <v>47.2</v>
      </c>
      <c r="E15" s="45">
        <v>47.2</v>
      </c>
      <c r="F15" s="45">
        <v>47.2</v>
      </c>
      <c r="G15" s="45">
        <v>47.2</v>
      </c>
      <c r="H15" s="45">
        <v>47.2</v>
      </c>
      <c r="I15" s="45">
        <v>47.2</v>
      </c>
      <c r="J15" s="45">
        <v>47.2</v>
      </c>
      <c r="K15" s="45">
        <v>47.2</v>
      </c>
      <c r="L15" s="45">
        <v>47.2</v>
      </c>
      <c r="M15" s="45">
        <v>47</v>
      </c>
      <c r="N15" s="45">
        <v>47</v>
      </c>
      <c r="O15" s="45">
        <v>47</v>
      </c>
      <c r="P15" s="45">
        <v>47</v>
      </c>
      <c r="Q15" s="45">
        <v>47</v>
      </c>
      <c r="R15" s="45">
        <v>47</v>
      </c>
      <c r="S15" s="45">
        <v>47</v>
      </c>
      <c r="T15" s="45">
        <v>47</v>
      </c>
      <c r="U15" s="45">
        <v>47</v>
      </c>
      <c r="V15" s="45">
        <v>47</v>
      </c>
      <c r="W15" s="45">
        <v>47</v>
      </c>
      <c r="X15" s="45">
        <v>47</v>
      </c>
      <c r="Y15" s="45">
        <v>47</v>
      </c>
      <c r="Z15" s="45">
        <v>47</v>
      </c>
      <c r="AA15" s="45">
        <v>47</v>
      </c>
      <c r="AB15" s="45">
        <v>47</v>
      </c>
      <c r="AC15" s="45">
        <v>47</v>
      </c>
      <c r="AD15" s="45">
        <v>47</v>
      </c>
      <c r="AE15" s="45">
        <v>47</v>
      </c>
      <c r="AF15" s="45">
        <v>47</v>
      </c>
      <c r="AG15" s="49">
        <v>45</v>
      </c>
      <c r="AH15" s="47">
        <f t="shared" si="2"/>
        <v>47.2</v>
      </c>
      <c r="AI15" s="48">
        <f t="shared" si="3"/>
        <v>47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30</v>
      </c>
      <c r="N17" s="45">
        <v>30</v>
      </c>
      <c r="O17" s="45">
        <v>30</v>
      </c>
      <c r="P17" s="45">
        <v>30</v>
      </c>
      <c r="Q17" s="45">
        <v>30</v>
      </c>
      <c r="R17" s="45">
        <v>30</v>
      </c>
      <c r="S17" s="45">
        <v>29</v>
      </c>
      <c r="T17" s="45">
        <v>28.5</v>
      </c>
      <c r="U17" s="45">
        <v>28.5</v>
      </c>
      <c r="V17" s="45">
        <v>28.5</v>
      </c>
      <c r="W17" s="45">
        <v>28.5</v>
      </c>
      <c r="X17" s="45">
        <v>29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36</v>
      </c>
      <c r="AE17" s="45">
        <v>28</v>
      </c>
      <c r="AF17" s="45">
        <v>28</v>
      </c>
      <c r="AG17" s="49">
        <v>42</v>
      </c>
      <c r="AH17" s="47">
        <f t="shared" si="2"/>
        <v>36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0</v>
      </c>
      <c r="K18" s="45">
        <v>20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35</v>
      </c>
      <c r="R18" s="45">
        <v>35</v>
      </c>
      <c r="S18" s="45">
        <v>35</v>
      </c>
      <c r="T18" s="45">
        <v>35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35</v>
      </c>
      <c r="AA18" s="45">
        <v>35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38.5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38.5</v>
      </c>
      <c r="N19" s="45">
        <v>38.5</v>
      </c>
      <c r="O19" s="45">
        <v>38.5</v>
      </c>
      <c r="P19" s="45">
        <v>38.5</v>
      </c>
      <c r="Q19" s="45">
        <v>38.5</v>
      </c>
      <c r="R19" s="45">
        <v>38.5</v>
      </c>
      <c r="S19" s="45">
        <v>38.5</v>
      </c>
      <c r="T19" s="45">
        <v>38.5</v>
      </c>
      <c r="U19" s="45">
        <v>38.5</v>
      </c>
      <c r="V19" s="45">
        <v>38.5</v>
      </c>
      <c r="W19" s="45">
        <v>38.5</v>
      </c>
      <c r="X19" s="45">
        <v>38.5</v>
      </c>
      <c r="Y19" s="45">
        <v>38.5</v>
      </c>
      <c r="Z19" s="45">
        <v>38.5</v>
      </c>
      <c r="AA19" s="45">
        <v>38.5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38.5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5</v>
      </c>
      <c r="D20" s="45">
        <v>5</v>
      </c>
      <c r="E20" s="45">
        <v>5</v>
      </c>
      <c r="F20" s="45">
        <v>5</v>
      </c>
      <c r="G20" s="45">
        <v>0</v>
      </c>
      <c r="H20" s="45">
        <v>0</v>
      </c>
      <c r="I20" s="45">
        <v>0</v>
      </c>
      <c r="J20" s="45">
        <v>5</v>
      </c>
      <c r="K20" s="45">
        <v>5</v>
      </c>
      <c r="L20" s="45">
        <v>10</v>
      </c>
      <c r="M20" s="45">
        <v>6.1</v>
      </c>
      <c r="N20" s="45">
        <v>6.1</v>
      </c>
      <c r="O20" s="45">
        <v>6.1</v>
      </c>
      <c r="P20" s="45">
        <v>14.7</v>
      </c>
      <c r="Q20" s="45">
        <v>14.7</v>
      </c>
      <c r="R20" s="45">
        <v>14.7</v>
      </c>
      <c r="S20" s="45">
        <v>16</v>
      </c>
      <c r="T20" s="45">
        <v>16</v>
      </c>
      <c r="U20" s="45">
        <v>16</v>
      </c>
      <c r="V20" s="45">
        <v>16</v>
      </c>
      <c r="W20" s="45">
        <v>16</v>
      </c>
      <c r="X20" s="45">
        <v>15.7</v>
      </c>
      <c r="Y20" s="45">
        <v>15.7</v>
      </c>
      <c r="Z20" s="45">
        <v>20.7</v>
      </c>
      <c r="AA20" s="45">
        <v>20.7</v>
      </c>
      <c r="AB20" s="45">
        <v>20.7</v>
      </c>
      <c r="AC20" s="45">
        <v>20.7</v>
      </c>
      <c r="AD20" s="45">
        <v>16</v>
      </c>
      <c r="AE20" s="45">
        <v>10</v>
      </c>
      <c r="AF20" s="45">
        <v>10</v>
      </c>
      <c r="AG20" s="51">
        <v>30</v>
      </c>
      <c r="AH20" s="47">
        <f t="shared" si="2"/>
        <v>20.7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21.1</v>
      </c>
      <c r="C21" s="45">
        <v>21.1</v>
      </c>
      <c r="D21" s="45">
        <v>21.1</v>
      </c>
      <c r="E21" s="45">
        <v>21.1</v>
      </c>
      <c r="F21" s="45">
        <v>21.1</v>
      </c>
      <c r="G21" s="45">
        <v>21.1</v>
      </c>
      <c r="H21" s="45">
        <v>21.1</v>
      </c>
      <c r="I21" s="45">
        <v>21.1</v>
      </c>
      <c r="J21" s="45">
        <v>21.1</v>
      </c>
      <c r="K21" s="45">
        <v>21.1</v>
      </c>
      <c r="L21" s="45">
        <v>21.1</v>
      </c>
      <c r="M21" s="45">
        <v>32.9</v>
      </c>
      <c r="N21" s="45">
        <v>32.9</v>
      </c>
      <c r="O21" s="45">
        <v>32.9</v>
      </c>
      <c r="P21" s="45">
        <v>32.9</v>
      </c>
      <c r="Q21" s="45">
        <v>32.9</v>
      </c>
      <c r="R21" s="45">
        <v>32.9</v>
      </c>
      <c r="S21" s="45">
        <v>32.9</v>
      </c>
      <c r="T21" s="45">
        <v>32.9</v>
      </c>
      <c r="U21" s="45">
        <v>32.9</v>
      </c>
      <c r="V21" s="45">
        <v>32.9</v>
      </c>
      <c r="W21" s="45">
        <v>32.9</v>
      </c>
      <c r="X21" s="45">
        <v>32.9</v>
      </c>
      <c r="Y21" s="45">
        <v>32.9</v>
      </c>
      <c r="Z21" s="45">
        <v>32.9</v>
      </c>
      <c r="AA21" s="45">
        <v>32.9</v>
      </c>
      <c r="AB21" s="45">
        <v>32.9</v>
      </c>
      <c r="AC21" s="45">
        <v>32.9</v>
      </c>
      <c r="AD21" s="45">
        <v>32.9</v>
      </c>
      <c r="AE21" s="45">
        <v>32.9</v>
      </c>
      <c r="AF21" s="45">
        <v>32.9</v>
      </c>
      <c r="AG21" s="49">
        <v>24.2</v>
      </c>
      <c r="AH21" s="47">
        <f t="shared" si="2"/>
        <v>32.9</v>
      </c>
      <c r="AI21" s="48">
        <f t="shared" si="3"/>
        <v>21.1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20.8</v>
      </c>
      <c r="C22" s="45">
        <v>20.8</v>
      </c>
      <c r="D22" s="45">
        <v>20.8</v>
      </c>
      <c r="E22" s="45">
        <v>20.8</v>
      </c>
      <c r="F22" s="45">
        <v>20.8</v>
      </c>
      <c r="G22" s="45">
        <v>20.8</v>
      </c>
      <c r="H22" s="45">
        <v>20.8</v>
      </c>
      <c r="I22" s="45">
        <v>20.8</v>
      </c>
      <c r="J22" s="45">
        <v>20.8</v>
      </c>
      <c r="K22" s="45">
        <v>20.8</v>
      </c>
      <c r="L22" s="45">
        <v>20.8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20.8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13.5</v>
      </c>
      <c r="C23" s="45">
        <v>4.5</v>
      </c>
      <c r="D23" s="45">
        <v>4.5</v>
      </c>
      <c r="E23" s="45">
        <v>0</v>
      </c>
      <c r="F23" s="45">
        <v>4.5</v>
      </c>
      <c r="G23" s="45">
        <v>0</v>
      </c>
      <c r="H23" s="45">
        <v>0</v>
      </c>
      <c r="I23" s="45">
        <v>0</v>
      </c>
      <c r="J23" s="45">
        <v>4.5</v>
      </c>
      <c r="K23" s="45">
        <v>4.5</v>
      </c>
      <c r="L23" s="45">
        <v>9</v>
      </c>
      <c r="M23" s="45">
        <v>3</v>
      </c>
      <c r="N23" s="45">
        <v>3</v>
      </c>
      <c r="O23" s="45">
        <v>3</v>
      </c>
      <c r="P23" s="45">
        <v>9</v>
      </c>
      <c r="Q23" s="45">
        <v>27</v>
      </c>
      <c r="R23" s="45">
        <v>27</v>
      </c>
      <c r="S23" s="45">
        <v>18</v>
      </c>
      <c r="T23" s="45">
        <v>18</v>
      </c>
      <c r="U23" s="45">
        <v>13</v>
      </c>
      <c r="V23" s="45">
        <v>13</v>
      </c>
      <c r="W23" s="45">
        <v>13</v>
      </c>
      <c r="X23" s="45">
        <v>7</v>
      </c>
      <c r="Y23" s="45">
        <v>20</v>
      </c>
      <c r="Z23" s="45">
        <v>27</v>
      </c>
      <c r="AA23" s="45">
        <v>27</v>
      </c>
      <c r="AB23" s="45">
        <v>27</v>
      </c>
      <c r="AC23" s="45">
        <v>27</v>
      </c>
      <c r="AD23" s="45">
        <v>14</v>
      </c>
      <c r="AE23" s="45">
        <v>9</v>
      </c>
      <c r="AF23" s="45">
        <v>9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24.5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12.5</v>
      </c>
      <c r="C27" s="45">
        <v>4.5</v>
      </c>
      <c r="D27" s="45">
        <v>4.5</v>
      </c>
      <c r="E27" s="45">
        <v>0</v>
      </c>
      <c r="F27" s="45">
        <v>4.5</v>
      </c>
      <c r="G27" s="45">
        <v>0</v>
      </c>
      <c r="H27" s="45">
        <v>0</v>
      </c>
      <c r="I27" s="45">
        <v>0</v>
      </c>
      <c r="J27" s="45">
        <v>4.5</v>
      </c>
      <c r="K27" s="45">
        <v>4.5</v>
      </c>
      <c r="L27" s="45">
        <v>8.5</v>
      </c>
      <c r="M27" s="45">
        <v>3</v>
      </c>
      <c r="N27" s="45">
        <v>3</v>
      </c>
      <c r="O27" s="45">
        <v>3</v>
      </c>
      <c r="P27" s="45">
        <v>8</v>
      </c>
      <c r="Q27" s="45">
        <v>25</v>
      </c>
      <c r="R27" s="45">
        <v>25</v>
      </c>
      <c r="S27" s="45">
        <v>17</v>
      </c>
      <c r="T27" s="45">
        <v>17</v>
      </c>
      <c r="U27" s="45">
        <v>12</v>
      </c>
      <c r="V27" s="45">
        <v>12</v>
      </c>
      <c r="W27" s="45">
        <v>12</v>
      </c>
      <c r="X27" s="45">
        <v>7</v>
      </c>
      <c r="Y27" s="45">
        <v>20</v>
      </c>
      <c r="Z27" s="45">
        <v>25</v>
      </c>
      <c r="AA27" s="45">
        <v>25</v>
      </c>
      <c r="AB27" s="45">
        <v>25</v>
      </c>
      <c r="AC27" s="45">
        <v>25</v>
      </c>
      <c r="AD27" s="45">
        <v>12</v>
      </c>
      <c r="AE27" s="45">
        <v>8</v>
      </c>
      <c r="AF27" s="45">
        <v>8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4</v>
      </c>
      <c r="F33" s="45">
        <v>4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4</v>
      </c>
      <c r="AB33" s="45">
        <v>4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4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15.33</v>
      </c>
      <c r="C35" s="45">
        <v>15.33</v>
      </c>
      <c r="D35" s="45">
        <v>15.33</v>
      </c>
      <c r="E35" s="45">
        <v>15.33</v>
      </c>
      <c r="F35" s="45">
        <v>15.33</v>
      </c>
      <c r="G35" s="45">
        <v>15.33</v>
      </c>
      <c r="H35" s="45">
        <v>15.33</v>
      </c>
      <c r="I35" s="45">
        <v>15.33</v>
      </c>
      <c r="J35" s="45">
        <v>0</v>
      </c>
      <c r="K35" s="45">
        <v>4</v>
      </c>
      <c r="L35" s="45">
        <v>14</v>
      </c>
      <c r="M35" s="45">
        <v>14</v>
      </c>
      <c r="N35" s="45">
        <v>14</v>
      </c>
      <c r="O35" s="45">
        <v>15.3</v>
      </c>
      <c r="P35" s="45">
        <v>15.6</v>
      </c>
      <c r="Q35" s="45">
        <v>15.6</v>
      </c>
      <c r="R35" s="45">
        <v>15.6</v>
      </c>
      <c r="S35" s="45">
        <v>15.6</v>
      </c>
      <c r="T35" s="45">
        <v>15.6</v>
      </c>
      <c r="U35" s="45">
        <v>15.6</v>
      </c>
      <c r="V35" s="45">
        <v>15.6</v>
      </c>
      <c r="W35" s="45">
        <v>15.6</v>
      </c>
      <c r="X35" s="45">
        <v>15.6</v>
      </c>
      <c r="Y35" s="45">
        <v>15.6</v>
      </c>
      <c r="Z35" s="45">
        <v>15.6</v>
      </c>
      <c r="AA35" s="45">
        <v>15.6</v>
      </c>
      <c r="AB35" s="45">
        <v>15.6</v>
      </c>
      <c r="AC35" s="45">
        <v>15.6</v>
      </c>
      <c r="AD35" s="45">
        <v>15.6</v>
      </c>
      <c r="AE35" s="45">
        <v>15.6</v>
      </c>
      <c r="AF35" s="45">
        <v>15.6</v>
      </c>
      <c r="AG35" s="49">
        <v>14.9</v>
      </c>
      <c r="AH35" s="47">
        <f t="shared" si="2"/>
        <v>15.6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0</v>
      </c>
      <c r="F39" s="45">
        <v>2</v>
      </c>
      <c r="G39" s="45">
        <v>0</v>
      </c>
      <c r="H39" s="45">
        <v>0</v>
      </c>
      <c r="I39" s="45">
        <v>0</v>
      </c>
      <c r="J39" s="45">
        <v>2</v>
      </c>
      <c r="K39" s="45">
        <v>2</v>
      </c>
      <c r="L39" s="45">
        <v>2</v>
      </c>
      <c r="M39" s="45">
        <v>2</v>
      </c>
      <c r="N39" s="45">
        <v>2</v>
      </c>
      <c r="O39" s="45">
        <v>2</v>
      </c>
      <c r="P39" s="45">
        <v>2</v>
      </c>
      <c r="Q39" s="45">
        <v>12</v>
      </c>
      <c r="R39" s="45">
        <v>12</v>
      </c>
      <c r="S39" s="45">
        <v>6</v>
      </c>
      <c r="T39" s="45">
        <v>6</v>
      </c>
      <c r="U39" s="45">
        <v>3</v>
      </c>
      <c r="V39" s="45">
        <v>3</v>
      </c>
      <c r="W39" s="45">
        <v>3</v>
      </c>
      <c r="X39" s="45">
        <v>3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4</v>
      </c>
      <c r="AF39" s="45">
        <v>4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0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10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/>
      <c r="C49" s="56"/>
      <c r="D49" s="56">
        <v>123</v>
      </c>
      <c r="E49" s="56">
        <v>123</v>
      </c>
      <c r="F49" s="56">
        <v>123</v>
      </c>
      <c r="G49" s="56">
        <v>123</v>
      </c>
      <c r="H49" s="56">
        <v>123</v>
      </c>
      <c r="I49" s="56">
        <f>34.4+84.3</f>
        <v>118.69999999999999</v>
      </c>
      <c r="J49" s="56">
        <f>34.4+84.3</f>
        <v>118.69999999999999</v>
      </c>
      <c r="K49" s="56">
        <f>34.4+84.3</f>
        <v>118.69999999999999</v>
      </c>
      <c r="L49" s="56">
        <f>34.8+85.7</f>
        <v>120.5</v>
      </c>
      <c r="M49" s="56">
        <v>119.6</v>
      </c>
      <c r="N49" s="56">
        <v>119.6</v>
      </c>
      <c r="O49" s="56">
        <v>119.6</v>
      </c>
      <c r="P49" s="56">
        <v>119.6</v>
      </c>
      <c r="Q49" s="56">
        <v>119.6</v>
      </c>
      <c r="R49" s="56">
        <v>119.6</v>
      </c>
      <c r="S49" s="56">
        <v>119.6</v>
      </c>
      <c r="T49" s="56">
        <v>119.6</v>
      </c>
      <c r="U49" s="56">
        <v>119.6</v>
      </c>
      <c r="V49" s="56">
        <v>119.6</v>
      </c>
      <c r="W49" s="56">
        <v>119.6</v>
      </c>
      <c r="X49" s="56">
        <v>119.6</v>
      </c>
      <c r="Y49" s="56">
        <v>119.6</v>
      </c>
      <c r="Z49" s="56">
        <v>119.6</v>
      </c>
      <c r="AA49" s="56">
        <v>119.6</v>
      </c>
      <c r="AB49" s="56">
        <v>119.6</v>
      </c>
      <c r="AC49" s="56">
        <v>119.6</v>
      </c>
      <c r="AD49" s="56">
        <v>119.6</v>
      </c>
      <c r="AE49" s="56">
        <v>119.6</v>
      </c>
      <c r="AF49" s="56">
        <v>119.6</v>
      </c>
      <c r="AG49" s="54">
        <v>240</v>
      </c>
      <c r="AH49" s="47">
        <f t="shared" si="2"/>
        <v>123</v>
      </c>
      <c r="AI49" s="48">
        <f t="shared" si="3"/>
        <v>118.69999999999999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1146.6300000000001</v>
      </c>
      <c r="C50" s="60">
        <f t="shared" si="4"/>
        <v>1115.6300000000001</v>
      </c>
      <c r="D50" s="60">
        <f t="shared" si="4"/>
        <v>1115.6300000000001</v>
      </c>
      <c r="E50" s="60">
        <f t="shared" si="4"/>
        <v>1095.6300000000001</v>
      </c>
      <c r="F50" s="60">
        <f t="shared" si="4"/>
        <v>1115.6300000000001</v>
      </c>
      <c r="G50" s="60">
        <f t="shared" si="4"/>
        <v>1090.6300000000001</v>
      </c>
      <c r="H50" s="60">
        <f t="shared" si="4"/>
        <v>1090.6300000000001</v>
      </c>
      <c r="I50" s="60">
        <f t="shared" si="4"/>
        <v>1090.6300000000001</v>
      </c>
      <c r="J50" s="60">
        <f t="shared" si="4"/>
        <v>1055.8000000000002</v>
      </c>
      <c r="K50" s="60">
        <f t="shared" si="4"/>
        <v>1088.8000000000002</v>
      </c>
      <c r="L50" s="60">
        <f t="shared" si="4"/>
        <v>1131.3000000000002</v>
      </c>
      <c r="M50" s="60">
        <f t="shared" si="4"/>
        <v>1139.4000000000001</v>
      </c>
      <c r="N50" s="60">
        <f t="shared" si="4"/>
        <v>1139.4000000000001</v>
      </c>
      <c r="O50" s="60">
        <f>SUM(O11:O48)</f>
        <v>1136.7</v>
      </c>
      <c r="P50" s="60">
        <f>SUM(P11:P48)</f>
        <v>1156.5999999999999</v>
      </c>
      <c r="Q50" s="60">
        <f t="shared" si="4"/>
        <v>1205.5999999999999</v>
      </c>
      <c r="R50" s="60">
        <f t="shared" ref="R50:AA50" si="5">SUM(R11:R48)</f>
        <v>1205.5999999999999</v>
      </c>
      <c r="S50" s="60">
        <f t="shared" si="5"/>
        <v>1182.9000000000001</v>
      </c>
      <c r="T50" s="60">
        <f t="shared" si="5"/>
        <v>1182.4000000000001</v>
      </c>
      <c r="U50" s="60">
        <f t="shared" si="5"/>
        <v>1169.4000000000001</v>
      </c>
      <c r="V50" s="60">
        <f t="shared" si="5"/>
        <v>1169.4000000000001</v>
      </c>
      <c r="W50" s="60">
        <f t="shared" si="5"/>
        <v>1169.4000000000001</v>
      </c>
      <c r="X50" s="60">
        <f t="shared" si="5"/>
        <v>1153.5999999999999</v>
      </c>
      <c r="Y50" s="60">
        <f t="shared" si="5"/>
        <v>1193.5999999999999</v>
      </c>
      <c r="Z50" s="60">
        <f t="shared" si="5"/>
        <v>1223.5999999999999</v>
      </c>
      <c r="AA50" s="60">
        <f t="shared" si="5"/>
        <v>1223.5999999999999</v>
      </c>
      <c r="AB50" s="60">
        <f t="shared" si="4"/>
        <v>1199.0999999999999</v>
      </c>
      <c r="AC50" s="60">
        <f t="shared" si="4"/>
        <v>1199.0999999999999</v>
      </c>
      <c r="AD50" s="60">
        <f t="shared" si="4"/>
        <v>1175.4000000000001</v>
      </c>
      <c r="AE50" s="60">
        <f t="shared" si="4"/>
        <v>1144.4000000000001</v>
      </c>
      <c r="AF50" s="60">
        <f t="shared" si="4"/>
        <v>1144.4000000000001</v>
      </c>
      <c r="AG50" s="61">
        <f>SUM(AG13:AG48)</f>
        <v>922.14</v>
      </c>
      <c r="AH50" s="47">
        <f t="shared" si="2"/>
        <v>1223.5999999999999</v>
      </c>
      <c r="AI50" s="48">
        <f t="shared" si="3"/>
        <v>1055.8000000000002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61</v>
      </c>
      <c r="N52" s="64">
        <v>61</v>
      </c>
      <c r="O52" s="64">
        <v>61</v>
      </c>
      <c r="P52" s="64">
        <v>61</v>
      </c>
      <c r="Q52" s="64">
        <v>61</v>
      </c>
      <c r="R52" s="64">
        <v>61</v>
      </c>
      <c r="S52" s="64">
        <v>61</v>
      </c>
      <c r="T52" s="64">
        <v>61</v>
      </c>
      <c r="U52" s="64">
        <v>61</v>
      </c>
      <c r="V52" s="64">
        <v>61</v>
      </c>
      <c r="W52" s="64">
        <v>61</v>
      </c>
      <c r="X52" s="64">
        <v>61</v>
      </c>
      <c r="Y52" s="64">
        <v>61</v>
      </c>
      <c r="Z52" s="64">
        <v>61</v>
      </c>
      <c r="AA52" s="64">
        <v>61</v>
      </c>
      <c r="AB52" s="64">
        <v>61</v>
      </c>
      <c r="AC52" s="64">
        <v>61</v>
      </c>
      <c r="AD52" s="64">
        <v>61</v>
      </c>
      <c r="AE52" s="64">
        <v>61</v>
      </c>
      <c r="AF52" s="64">
        <v>55</v>
      </c>
      <c r="AG52" s="54">
        <v>60</v>
      </c>
      <c r="AH52" s="47">
        <f t="shared" si="2"/>
        <v>61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533.4</v>
      </c>
      <c r="C54" s="60">
        <f t="shared" si="6"/>
        <v>533.4</v>
      </c>
      <c r="D54" s="60">
        <f t="shared" si="6"/>
        <v>533.4</v>
      </c>
      <c r="E54" s="60">
        <f t="shared" si="6"/>
        <v>533.4</v>
      </c>
      <c r="F54" s="60">
        <f t="shared" si="6"/>
        <v>528.4</v>
      </c>
      <c r="G54" s="60">
        <f t="shared" si="6"/>
        <v>528.4</v>
      </c>
      <c r="H54" s="60">
        <f t="shared" si="6"/>
        <v>528.4</v>
      </c>
      <c r="I54" s="60">
        <f t="shared" si="6"/>
        <v>528.4</v>
      </c>
      <c r="J54" s="60">
        <f t="shared" si="6"/>
        <v>528.4</v>
      </c>
      <c r="K54" s="60">
        <f t="shared" si="6"/>
        <v>528.4</v>
      </c>
      <c r="L54" s="60">
        <f t="shared" si="6"/>
        <v>528.4</v>
      </c>
      <c r="M54" s="60">
        <f t="shared" si="6"/>
        <v>539.4</v>
      </c>
      <c r="N54" s="60">
        <f t="shared" si="6"/>
        <v>539.4</v>
      </c>
      <c r="O54" s="60">
        <f t="shared" si="6"/>
        <v>539.4</v>
      </c>
      <c r="P54" s="60">
        <f t="shared" si="6"/>
        <v>539.4</v>
      </c>
      <c r="Q54" s="60">
        <f t="shared" si="6"/>
        <v>539.4</v>
      </c>
      <c r="R54" s="60">
        <f t="shared" ref="R54:AA54" si="7">SUM(R51:R53)</f>
        <v>539.4</v>
      </c>
      <c r="S54" s="60">
        <f t="shared" si="7"/>
        <v>539.4</v>
      </c>
      <c r="T54" s="60">
        <f t="shared" si="7"/>
        <v>539.4</v>
      </c>
      <c r="U54" s="60">
        <f t="shared" si="7"/>
        <v>539.4</v>
      </c>
      <c r="V54" s="60">
        <f t="shared" si="7"/>
        <v>539.4</v>
      </c>
      <c r="W54" s="60">
        <f t="shared" si="7"/>
        <v>539.4</v>
      </c>
      <c r="X54" s="60">
        <f t="shared" si="7"/>
        <v>539.4</v>
      </c>
      <c r="Y54" s="60">
        <f t="shared" si="7"/>
        <v>539.4</v>
      </c>
      <c r="Z54" s="60">
        <f t="shared" si="7"/>
        <v>539.4</v>
      </c>
      <c r="AA54" s="60">
        <f t="shared" si="7"/>
        <v>539.4</v>
      </c>
      <c r="AB54" s="60">
        <f t="shared" si="6"/>
        <v>539.4</v>
      </c>
      <c r="AC54" s="60">
        <f t="shared" si="6"/>
        <v>539.4</v>
      </c>
      <c r="AD54" s="60">
        <f t="shared" si="6"/>
        <v>539.4</v>
      </c>
      <c r="AE54" s="60">
        <f t="shared" si="6"/>
        <v>539.4</v>
      </c>
      <c r="AF54" s="60">
        <f t="shared" si="6"/>
        <v>533.4</v>
      </c>
      <c r="AG54" s="61">
        <f t="shared" si="6"/>
        <v>538.1</v>
      </c>
      <c r="AH54" s="47">
        <f t="shared" si="2"/>
        <v>539.4</v>
      </c>
      <c r="AI54" s="48">
        <f t="shared" si="3"/>
        <v>528.4</v>
      </c>
      <c r="AK54" s="50"/>
    </row>
    <row r="55" spans="1:41" x14ac:dyDescent="0.25">
      <c r="A55" s="44" t="s">
        <v>63</v>
      </c>
      <c r="B55" s="45">
        <v>136.80000000000001</v>
      </c>
      <c r="C55" s="45">
        <v>136.80000000000001</v>
      </c>
      <c r="D55" s="45">
        <v>133</v>
      </c>
      <c r="E55" s="45">
        <v>133</v>
      </c>
      <c r="F55" s="45">
        <v>133</v>
      </c>
      <c r="G55" s="45">
        <v>127.3</v>
      </c>
      <c r="H55" s="45">
        <v>127.4</v>
      </c>
      <c r="I55" s="45">
        <v>127.3</v>
      </c>
      <c r="J55" s="45">
        <v>136.9</v>
      </c>
      <c r="K55" s="45">
        <v>136.9</v>
      </c>
      <c r="L55" s="45">
        <v>136.30000000000001</v>
      </c>
      <c r="M55" s="45">
        <v>136.9</v>
      </c>
      <c r="N55" s="45">
        <v>130</v>
      </c>
      <c r="O55" s="45">
        <v>135.9</v>
      </c>
      <c r="P55" s="45">
        <v>137</v>
      </c>
      <c r="Q55" s="45">
        <v>137</v>
      </c>
      <c r="R55" s="45">
        <v>137</v>
      </c>
      <c r="S55" s="45">
        <v>136.80000000000001</v>
      </c>
      <c r="T55" s="45">
        <v>137.6</v>
      </c>
      <c r="U55" s="45">
        <v>137.5</v>
      </c>
      <c r="V55" s="45">
        <v>137</v>
      </c>
      <c r="W55" s="45">
        <v>137</v>
      </c>
      <c r="X55" s="45">
        <v>134.4</v>
      </c>
      <c r="Y55" s="45">
        <v>134.4</v>
      </c>
      <c r="Z55" s="45">
        <v>134.30000000000001</v>
      </c>
      <c r="AA55" s="45">
        <v>134.4</v>
      </c>
      <c r="AB55" s="45">
        <v>134.4</v>
      </c>
      <c r="AC55" s="45">
        <v>134.4</v>
      </c>
      <c r="AD55" s="45">
        <v>134.4</v>
      </c>
      <c r="AE55" s="45">
        <v>134.4</v>
      </c>
      <c r="AF55" s="45">
        <v>134.4</v>
      </c>
      <c r="AG55" s="51">
        <v>144</v>
      </c>
      <c r="AH55" s="47">
        <f t="shared" si="2"/>
        <v>137.6</v>
      </c>
      <c r="AI55" s="48">
        <f t="shared" si="3"/>
        <v>127.3</v>
      </c>
      <c r="AK55" s="50"/>
    </row>
    <row r="56" spans="1:41" x14ac:dyDescent="0.25">
      <c r="A56" s="53" t="s">
        <v>64</v>
      </c>
      <c r="B56" s="64">
        <v>68</v>
      </c>
      <c r="C56" s="64">
        <v>62.9</v>
      </c>
      <c r="D56" s="64">
        <v>60.3</v>
      </c>
      <c r="E56" s="64">
        <v>65.5</v>
      </c>
      <c r="F56" s="64">
        <v>65.5</v>
      </c>
      <c r="G56" s="64">
        <v>61.3</v>
      </c>
      <c r="H56" s="64">
        <v>61.8</v>
      </c>
      <c r="I56" s="64">
        <v>61.5</v>
      </c>
      <c r="J56" s="64">
        <v>63.8</v>
      </c>
      <c r="K56" s="64">
        <v>65.3</v>
      </c>
      <c r="L56" s="64">
        <v>65.599999999999994</v>
      </c>
      <c r="M56" s="64">
        <v>65.599999999999994</v>
      </c>
      <c r="N56" s="64">
        <v>58.8</v>
      </c>
      <c r="O56" s="64">
        <v>70</v>
      </c>
      <c r="P56" s="64">
        <v>71</v>
      </c>
      <c r="Q56" s="64">
        <v>71</v>
      </c>
      <c r="R56" s="64">
        <v>69</v>
      </c>
      <c r="S56" s="64">
        <v>68.099999999999994</v>
      </c>
      <c r="T56" s="64">
        <v>69.2</v>
      </c>
      <c r="U56" s="64">
        <v>68.7</v>
      </c>
      <c r="V56" s="64">
        <v>50.5</v>
      </c>
      <c r="W56" s="64">
        <v>50.5</v>
      </c>
      <c r="X56" s="64">
        <v>50.5</v>
      </c>
      <c r="Y56" s="64">
        <v>69.2</v>
      </c>
      <c r="Z56" s="64">
        <v>69.400000000000006</v>
      </c>
      <c r="AA56" s="45">
        <v>69.400000000000006</v>
      </c>
      <c r="AB56" s="45">
        <v>69.400000000000006</v>
      </c>
      <c r="AC56" s="45">
        <v>69.400000000000006</v>
      </c>
      <c r="AD56" s="45">
        <v>69.400000000000006</v>
      </c>
      <c r="AE56" s="45">
        <v>60</v>
      </c>
      <c r="AF56" s="45">
        <v>60</v>
      </c>
      <c r="AG56" s="54">
        <v>70</v>
      </c>
      <c r="AH56" s="47">
        <f t="shared" si="2"/>
        <v>71</v>
      </c>
      <c r="AI56" s="48">
        <f t="shared" si="3"/>
        <v>50.5</v>
      </c>
      <c r="AK56" s="50"/>
    </row>
    <row r="57" spans="1:41" x14ac:dyDescent="0.25">
      <c r="A57" s="53" t="s">
        <v>65</v>
      </c>
      <c r="B57" s="64">
        <v>64.2</v>
      </c>
      <c r="C57" s="64">
        <v>64.2</v>
      </c>
      <c r="D57" s="64">
        <v>65</v>
      </c>
      <c r="E57" s="64">
        <v>64.900000000000006</v>
      </c>
      <c r="F57" s="64">
        <v>64.900000000000006</v>
      </c>
      <c r="G57" s="64">
        <v>55.9</v>
      </c>
      <c r="H57" s="64">
        <v>65.3</v>
      </c>
      <c r="I57" s="64">
        <v>52.8</v>
      </c>
      <c r="J57" s="64">
        <v>65.5</v>
      </c>
      <c r="K57" s="64">
        <v>63.6</v>
      </c>
      <c r="L57" s="64">
        <v>53.1</v>
      </c>
      <c r="M57" s="64">
        <v>53.1</v>
      </c>
      <c r="N57" s="64">
        <v>66</v>
      </c>
      <c r="O57" s="64">
        <v>66</v>
      </c>
      <c r="P57" s="64">
        <v>65.3</v>
      </c>
      <c r="Q57" s="64">
        <v>65.3</v>
      </c>
      <c r="R57" s="64">
        <v>56.1</v>
      </c>
      <c r="S57" s="64">
        <v>65.900000000000006</v>
      </c>
      <c r="T57" s="64">
        <v>62.9</v>
      </c>
      <c r="U57" s="64">
        <v>55.3</v>
      </c>
      <c r="V57" s="64">
        <v>48.9</v>
      </c>
      <c r="W57" s="64">
        <v>48.9</v>
      </c>
      <c r="X57" s="64">
        <v>64.7</v>
      </c>
      <c r="Y57" s="64">
        <v>64.7</v>
      </c>
      <c r="Z57" s="64">
        <v>65</v>
      </c>
      <c r="AA57" s="45">
        <v>65</v>
      </c>
      <c r="AB57" s="45">
        <v>65</v>
      </c>
      <c r="AC57" s="45">
        <v>65</v>
      </c>
      <c r="AD57" s="45">
        <v>65</v>
      </c>
      <c r="AE57" s="45">
        <v>65</v>
      </c>
      <c r="AF57" s="45">
        <v>65</v>
      </c>
      <c r="AG57" s="54">
        <v>69</v>
      </c>
      <c r="AH57" s="47">
        <f t="shared" si="2"/>
        <v>66</v>
      </c>
      <c r="AI57" s="48">
        <f t="shared" si="3"/>
        <v>48.9</v>
      </c>
      <c r="AK57" s="50"/>
    </row>
    <row r="58" spans="1:41" x14ac:dyDescent="0.25">
      <c r="A58" s="53" t="s">
        <v>66</v>
      </c>
      <c r="B58" s="64">
        <v>61</v>
      </c>
      <c r="C58" s="64">
        <v>50.2</v>
      </c>
      <c r="D58" s="64">
        <v>50.2</v>
      </c>
      <c r="E58" s="64">
        <v>50.2</v>
      </c>
      <c r="F58" s="64">
        <v>0</v>
      </c>
      <c r="G58" s="56">
        <v>30</v>
      </c>
      <c r="H58" s="56">
        <v>35.5</v>
      </c>
      <c r="I58" s="56">
        <v>50.7</v>
      </c>
      <c r="J58" s="56">
        <v>60.4</v>
      </c>
      <c r="K58" s="56">
        <v>60</v>
      </c>
      <c r="L58" s="56">
        <v>60.4</v>
      </c>
      <c r="M58" s="56">
        <v>60.4</v>
      </c>
      <c r="N58" s="56">
        <v>60.4</v>
      </c>
      <c r="O58" s="64">
        <v>60</v>
      </c>
      <c r="P58" s="64">
        <v>60</v>
      </c>
      <c r="Q58" s="64">
        <v>60</v>
      </c>
      <c r="R58" s="64">
        <v>60</v>
      </c>
      <c r="S58" s="64">
        <v>60.2</v>
      </c>
      <c r="T58" s="64">
        <v>60.2</v>
      </c>
      <c r="U58" s="64">
        <v>60.4</v>
      </c>
      <c r="V58" s="64">
        <v>42.8</v>
      </c>
      <c r="W58" s="64">
        <v>42.8</v>
      </c>
      <c r="X58" s="64">
        <v>60.9</v>
      </c>
      <c r="Y58" s="64">
        <v>60.9</v>
      </c>
      <c r="Z58" s="64">
        <v>60.9</v>
      </c>
      <c r="AA58" s="45">
        <v>60.9</v>
      </c>
      <c r="AB58" s="45">
        <v>50</v>
      </c>
      <c r="AC58" s="45">
        <v>60</v>
      </c>
      <c r="AD58" s="45">
        <v>60</v>
      </c>
      <c r="AE58" s="45">
        <v>50.2</v>
      </c>
      <c r="AF58" s="45">
        <v>60</v>
      </c>
      <c r="AG58" s="54">
        <v>60</v>
      </c>
      <c r="AH58" s="47">
        <f t="shared" si="2"/>
        <v>61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64">
        <v>28</v>
      </c>
      <c r="G59" s="56">
        <v>28</v>
      </c>
      <c r="H59" s="56">
        <v>28</v>
      </c>
      <c r="I59" s="56">
        <v>25</v>
      </c>
      <c r="J59" s="56">
        <v>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56">
        <v>30</v>
      </c>
      <c r="T59" s="56">
        <v>0</v>
      </c>
      <c r="U59" s="56">
        <v>28</v>
      </c>
      <c r="V59" s="56">
        <v>28</v>
      </c>
      <c r="W59" s="56">
        <v>28</v>
      </c>
      <c r="X59" s="56">
        <v>28</v>
      </c>
      <c r="Y59" s="56">
        <v>28</v>
      </c>
      <c r="Z59" s="56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0.6</v>
      </c>
      <c r="J60" s="64">
        <v>1</v>
      </c>
      <c r="K60" s="64">
        <v>1.5</v>
      </c>
      <c r="L60" s="64">
        <v>1.8</v>
      </c>
      <c r="M60" s="64">
        <v>1.8</v>
      </c>
      <c r="N60" s="64">
        <v>18</v>
      </c>
      <c r="O60" s="64">
        <v>19.899999999999999</v>
      </c>
      <c r="P60" s="64">
        <v>19.899999999999999</v>
      </c>
      <c r="Q60" s="64">
        <v>19.899999999999999</v>
      </c>
      <c r="R60" s="64">
        <v>13.7</v>
      </c>
      <c r="S60" s="64">
        <v>10</v>
      </c>
      <c r="T60" s="64">
        <v>12.8</v>
      </c>
      <c r="U60" s="64">
        <v>3.9</v>
      </c>
      <c r="V60" s="64">
        <v>0.9</v>
      </c>
      <c r="W60" s="64">
        <v>0.9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19.899999999999999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0</v>
      </c>
      <c r="C61" s="64">
        <v>0</v>
      </c>
      <c r="D61" s="64">
        <v>0</v>
      </c>
      <c r="E61" s="64">
        <v>0</v>
      </c>
      <c r="F61" s="64">
        <v>0</v>
      </c>
      <c r="G61" s="64">
        <v>0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64">
        <v>0</v>
      </c>
      <c r="N61" s="64">
        <v>0</v>
      </c>
      <c r="O61" s="64">
        <v>0</v>
      </c>
      <c r="P61" s="64">
        <v>0</v>
      </c>
      <c r="Q61" s="64">
        <v>0</v>
      </c>
      <c r="R61" s="64">
        <v>0</v>
      </c>
      <c r="S61" s="64">
        <v>0</v>
      </c>
      <c r="T61" s="64">
        <v>0</v>
      </c>
      <c r="U61" s="64">
        <v>0</v>
      </c>
      <c r="V61" s="64">
        <v>0</v>
      </c>
      <c r="W61" s="64">
        <v>0</v>
      </c>
      <c r="X61" s="64">
        <v>0</v>
      </c>
      <c r="Y61" s="64">
        <v>0</v>
      </c>
      <c r="Z61" s="64">
        <v>0</v>
      </c>
      <c r="AA61" s="64">
        <v>0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0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0</v>
      </c>
      <c r="C63" s="64">
        <v>0</v>
      </c>
      <c r="D63" s="64">
        <v>0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64">
        <v>0</v>
      </c>
      <c r="N63" s="64">
        <v>0</v>
      </c>
      <c r="O63" s="64">
        <v>0</v>
      </c>
      <c r="P63" s="64">
        <v>0</v>
      </c>
      <c r="Q63" s="64">
        <v>0</v>
      </c>
      <c r="R63" s="64">
        <v>0</v>
      </c>
      <c r="S63" s="64">
        <v>0</v>
      </c>
      <c r="T63" s="64">
        <v>0</v>
      </c>
      <c r="U63" s="64">
        <v>0</v>
      </c>
      <c r="V63" s="64">
        <v>0</v>
      </c>
      <c r="W63" s="64">
        <v>0</v>
      </c>
      <c r="X63" s="64">
        <v>0</v>
      </c>
      <c r="Y63" s="64">
        <v>0</v>
      </c>
      <c r="Z63" s="64">
        <v>0</v>
      </c>
      <c r="AA63" s="64">
        <v>0</v>
      </c>
      <c r="AB63" s="64">
        <v>8.9</v>
      </c>
      <c r="AC63" s="64">
        <v>8.9</v>
      </c>
      <c r="AD63" s="64">
        <v>8.9</v>
      </c>
      <c r="AE63" s="64">
        <v>8.9</v>
      </c>
      <c r="AF63" s="64">
        <v>8.9</v>
      </c>
      <c r="AG63" s="54">
        <v>14.1</v>
      </c>
      <c r="AH63" s="47">
        <f t="shared" si="2"/>
        <v>8.9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0</v>
      </c>
      <c r="C64" s="64">
        <v>0</v>
      </c>
      <c r="D64" s="64">
        <v>0</v>
      </c>
      <c r="E64" s="64">
        <v>0</v>
      </c>
      <c r="F64" s="64">
        <v>0</v>
      </c>
      <c r="G64" s="64">
        <v>0</v>
      </c>
      <c r="H64" s="64">
        <v>0</v>
      </c>
      <c r="I64" s="64">
        <v>0</v>
      </c>
      <c r="J64" s="64">
        <v>0</v>
      </c>
      <c r="K64" s="64">
        <v>0</v>
      </c>
      <c r="L64" s="64">
        <v>0</v>
      </c>
      <c r="M64" s="64">
        <v>0</v>
      </c>
      <c r="N64" s="64">
        <v>0</v>
      </c>
      <c r="O64" s="64">
        <v>0</v>
      </c>
      <c r="P64" s="64">
        <v>0</v>
      </c>
      <c r="Q64" s="64">
        <v>0</v>
      </c>
      <c r="R64" s="64">
        <v>0</v>
      </c>
      <c r="S64" s="64">
        <v>0</v>
      </c>
      <c r="T64" s="64">
        <v>0</v>
      </c>
      <c r="U64" s="64">
        <v>0</v>
      </c>
      <c r="V64" s="64">
        <v>4.7</v>
      </c>
      <c r="W64" s="64">
        <v>4.8</v>
      </c>
      <c r="X64" s="64">
        <v>10.4</v>
      </c>
      <c r="Y64" s="64">
        <v>10.4</v>
      </c>
      <c r="Z64" s="64">
        <v>13.6</v>
      </c>
      <c r="AA64" s="64">
        <v>13.6</v>
      </c>
      <c r="AB64" s="64">
        <v>13.6</v>
      </c>
      <c r="AC64" s="64">
        <v>13.6</v>
      </c>
      <c r="AD64" s="64">
        <v>13.6</v>
      </c>
      <c r="AE64" s="64">
        <v>13.6</v>
      </c>
      <c r="AF64" s="64">
        <v>13.6</v>
      </c>
      <c r="AG64" s="54">
        <v>14</v>
      </c>
      <c r="AH64" s="47">
        <f t="shared" si="2"/>
        <v>13.6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381.94</v>
      </c>
      <c r="C68" s="60">
        <f t="shared" si="8"/>
        <v>366.04</v>
      </c>
      <c r="D68" s="60">
        <f t="shared" si="8"/>
        <v>360.44</v>
      </c>
      <c r="E68" s="60">
        <f t="shared" si="8"/>
        <v>365.53999999999996</v>
      </c>
      <c r="F68" s="60">
        <f t="shared" si="8"/>
        <v>315.33999999999997</v>
      </c>
      <c r="G68" s="60">
        <f t="shared" si="8"/>
        <v>326.44</v>
      </c>
      <c r="H68" s="60">
        <f t="shared" si="8"/>
        <v>341.94</v>
      </c>
      <c r="I68" s="60">
        <f t="shared" si="8"/>
        <v>341.84000000000003</v>
      </c>
      <c r="J68" s="60">
        <f t="shared" si="8"/>
        <v>351.53999999999996</v>
      </c>
      <c r="K68" s="60">
        <f t="shared" si="8"/>
        <v>381.24</v>
      </c>
      <c r="L68" s="60">
        <f t="shared" si="8"/>
        <v>371.14</v>
      </c>
      <c r="M68" s="60">
        <f t="shared" si="8"/>
        <v>371.74</v>
      </c>
      <c r="N68" s="60">
        <f t="shared" si="8"/>
        <v>387.14</v>
      </c>
      <c r="O68" s="60">
        <f t="shared" si="8"/>
        <v>405.73999999999995</v>
      </c>
      <c r="P68" s="60">
        <f t="shared" si="8"/>
        <v>407.14</v>
      </c>
      <c r="Q68" s="60">
        <f t="shared" si="8"/>
        <v>407.14</v>
      </c>
      <c r="R68" s="60">
        <f t="shared" ref="R68:AA68" si="9">SUM(R55:R67)</f>
        <v>389.74</v>
      </c>
      <c r="S68" s="60">
        <f t="shared" si="9"/>
        <v>394.94</v>
      </c>
      <c r="T68" s="60">
        <f t="shared" si="9"/>
        <v>366.64</v>
      </c>
      <c r="U68" s="60">
        <f t="shared" si="9"/>
        <v>377.73999999999995</v>
      </c>
      <c r="V68" s="60">
        <f t="shared" si="9"/>
        <v>336.73999999999995</v>
      </c>
      <c r="W68" s="60">
        <f t="shared" si="9"/>
        <v>336.84</v>
      </c>
      <c r="X68" s="60">
        <f t="shared" si="9"/>
        <v>372.84</v>
      </c>
      <c r="Y68" s="60">
        <f t="shared" si="9"/>
        <v>391.53999999999996</v>
      </c>
      <c r="Z68" s="60">
        <f t="shared" si="9"/>
        <v>395.14000000000004</v>
      </c>
      <c r="AA68" s="60">
        <f t="shared" si="9"/>
        <v>395.24</v>
      </c>
      <c r="AB68" s="60">
        <f t="shared" si="8"/>
        <v>406.24</v>
      </c>
      <c r="AC68" s="60">
        <f t="shared" si="8"/>
        <v>416.24</v>
      </c>
      <c r="AD68" s="60">
        <f t="shared" si="8"/>
        <v>416.24</v>
      </c>
      <c r="AE68" s="60">
        <f t="shared" si="8"/>
        <v>397.03999999999996</v>
      </c>
      <c r="AF68" s="60">
        <f t="shared" si="8"/>
        <v>406.84</v>
      </c>
      <c r="AG68" s="61">
        <f t="shared" si="8"/>
        <v>489.91</v>
      </c>
      <c r="AH68" s="47">
        <f t="shared" si="2"/>
        <v>416.24</v>
      </c>
      <c r="AI68" s="48">
        <f t="shared" si="3"/>
        <v>315.33999999999997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>
        <v>25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25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>
        <v>20.100000000000001</v>
      </c>
      <c r="AB70" s="64">
        <v>5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20.100000000000001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>
        <v>7.4</v>
      </c>
      <c r="AB71" s="66">
        <v>2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7.4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0">M69+M70+M71</f>
        <v>0</v>
      </c>
      <c r="N72" s="60">
        <f t="shared" si="10"/>
        <v>0</v>
      </c>
      <c r="O72" s="60">
        <f t="shared" si="10"/>
        <v>0</v>
      </c>
      <c r="P72" s="60">
        <f t="shared" si="10"/>
        <v>0</v>
      </c>
      <c r="Q72" s="60">
        <f t="shared" si="10"/>
        <v>0</v>
      </c>
      <c r="R72" s="60">
        <f t="shared" ref="R72:AA72" si="11">R69+R70+R71</f>
        <v>0</v>
      </c>
      <c r="S72" s="60">
        <f t="shared" si="11"/>
        <v>0</v>
      </c>
      <c r="T72" s="60">
        <f t="shared" si="11"/>
        <v>0</v>
      </c>
      <c r="U72" s="60">
        <f t="shared" si="11"/>
        <v>0</v>
      </c>
      <c r="V72" s="60">
        <f t="shared" si="11"/>
        <v>0</v>
      </c>
      <c r="W72" s="60">
        <f t="shared" si="11"/>
        <v>0</v>
      </c>
      <c r="X72" s="60">
        <f t="shared" si="11"/>
        <v>0</v>
      </c>
      <c r="Y72" s="60">
        <f t="shared" si="11"/>
        <v>0</v>
      </c>
      <c r="Z72" s="60">
        <f t="shared" si="11"/>
        <v>0</v>
      </c>
      <c r="AA72" s="60">
        <f t="shared" si="11"/>
        <v>52.5</v>
      </c>
      <c r="AB72" s="60">
        <f t="shared" si="10"/>
        <v>7</v>
      </c>
      <c r="AC72" s="60">
        <f t="shared" si="10"/>
        <v>0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52.5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</v>
      </c>
      <c r="C73" s="45">
        <v>-0.7</v>
      </c>
      <c r="D73" s="45">
        <v>-2.1</v>
      </c>
      <c r="E73" s="45">
        <v>4.5999999999999996</v>
      </c>
      <c r="F73" s="45">
        <v>0</v>
      </c>
      <c r="G73" s="45">
        <v>0</v>
      </c>
      <c r="H73" s="45">
        <v>-13.3</v>
      </c>
      <c r="I73" s="45">
        <v>-53.4</v>
      </c>
      <c r="J73" s="45">
        <v>50</v>
      </c>
      <c r="K73" s="45">
        <v>-8</v>
      </c>
      <c r="L73" s="45">
        <v>-36.1</v>
      </c>
      <c r="M73" s="45">
        <v>-25</v>
      </c>
      <c r="N73" s="45">
        <v>-6</v>
      </c>
      <c r="O73" s="45">
        <v>8</v>
      </c>
      <c r="P73" s="45">
        <v>8</v>
      </c>
      <c r="Q73" s="45">
        <v>38.5</v>
      </c>
      <c r="R73" s="45">
        <v>51.4</v>
      </c>
      <c r="S73" s="45">
        <v>25.5</v>
      </c>
      <c r="T73" s="45">
        <v>54.2</v>
      </c>
      <c r="U73" s="45">
        <v>30.3</v>
      </c>
      <c r="V73" s="45">
        <v>33.4</v>
      </c>
      <c r="W73" s="45">
        <v>31.2</v>
      </c>
      <c r="X73" s="45">
        <v>20.7</v>
      </c>
      <c r="Y73" s="45">
        <v>30.6</v>
      </c>
      <c r="Z73" s="45">
        <v>32.4</v>
      </c>
      <c r="AA73" s="45">
        <v>47.1</v>
      </c>
      <c r="AB73" s="45">
        <v>51.9</v>
      </c>
      <c r="AC73" s="45">
        <v>22.1</v>
      </c>
      <c r="AD73" s="45">
        <v>15.1</v>
      </c>
      <c r="AE73" s="45">
        <v>17.7</v>
      </c>
      <c r="AF73" s="45">
        <v>7.4</v>
      </c>
      <c r="AG73" s="51"/>
      <c r="AH73" s="47">
        <f t="shared" si="2"/>
        <v>54.2</v>
      </c>
      <c r="AI73" s="48">
        <f t="shared" si="3"/>
        <v>-53.4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-309</v>
      </c>
      <c r="C75" s="64">
        <v>-332</v>
      </c>
      <c r="D75" s="64">
        <v>-343</v>
      </c>
      <c r="E75" s="64">
        <v>-357.7</v>
      </c>
      <c r="F75" s="64">
        <v>-370</v>
      </c>
      <c r="G75" s="64">
        <v>-438.2</v>
      </c>
      <c r="H75" s="64">
        <v>-405</v>
      </c>
      <c r="I75" s="64">
        <v>-459.7</v>
      </c>
      <c r="J75" s="64">
        <v>-435</v>
      </c>
      <c r="K75" s="64">
        <v>-398</v>
      </c>
      <c r="L75" s="64">
        <v>-453</v>
      </c>
      <c r="M75" s="64">
        <v>-420</v>
      </c>
      <c r="N75" s="64">
        <v>-402</v>
      </c>
      <c r="O75" s="64">
        <v>-426</v>
      </c>
      <c r="P75" s="64">
        <v>-389</v>
      </c>
      <c r="Q75" s="64">
        <v>-421</v>
      </c>
      <c r="R75" s="64">
        <v>-417.8</v>
      </c>
      <c r="S75" s="64">
        <v>-405</v>
      </c>
      <c r="T75" s="64">
        <v>-390.1</v>
      </c>
      <c r="U75" s="64">
        <v>-379.2</v>
      </c>
      <c r="V75" s="64">
        <v>-392.2</v>
      </c>
      <c r="W75" s="64">
        <v>-421</v>
      </c>
      <c r="X75" s="64">
        <v>-437.2</v>
      </c>
      <c r="Y75" s="64">
        <v>-380.7</v>
      </c>
      <c r="Z75" s="64">
        <v>-349</v>
      </c>
      <c r="AA75" s="64">
        <v>-338.5</v>
      </c>
      <c r="AB75" s="64">
        <v>-361</v>
      </c>
      <c r="AC75" s="64">
        <v>-342.5</v>
      </c>
      <c r="AD75" s="64">
        <v>-339.5</v>
      </c>
      <c r="AE75" s="64">
        <v>-353.6</v>
      </c>
      <c r="AF75" s="64">
        <v>-318</v>
      </c>
      <c r="AG75" s="74"/>
      <c r="AH75" s="47">
        <f t="shared" si="2"/>
        <v>-309</v>
      </c>
      <c r="AI75" s="48">
        <f t="shared" si="3"/>
        <v>-459.7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64">
        <v>0</v>
      </c>
      <c r="AF76" s="64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>
        <v>5</v>
      </c>
      <c r="C78" s="76">
        <v>0</v>
      </c>
      <c r="D78" s="64">
        <v>0</v>
      </c>
      <c r="E78" s="76"/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12"/>
        <v>5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5</v>
      </c>
      <c r="C84" s="60">
        <f t="shared" si="14"/>
        <v>0</v>
      </c>
      <c r="D84" s="60">
        <f t="shared" si="14"/>
        <v>0</v>
      </c>
      <c r="E84" s="60">
        <f t="shared" si="14"/>
        <v>4.5999999999999996</v>
      </c>
      <c r="F84" s="60">
        <f t="shared" si="14"/>
        <v>0</v>
      </c>
      <c r="G84" s="60">
        <f t="shared" si="14"/>
        <v>0</v>
      </c>
      <c r="H84" s="60">
        <f t="shared" si="14"/>
        <v>0</v>
      </c>
      <c r="I84" s="60">
        <f t="shared" si="14"/>
        <v>0</v>
      </c>
      <c r="J84" s="60">
        <f t="shared" si="14"/>
        <v>50</v>
      </c>
      <c r="K84" s="60">
        <f t="shared" si="14"/>
        <v>0</v>
      </c>
      <c r="L84" s="60">
        <f t="shared" si="14"/>
        <v>0</v>
      </c>
      <c r="M84" s="60">
        <f t="shared" si="14"/>
        <v>0</v>
      </c>
      <c r="N84" s="60">
        <f t="shared" si="14"/>
        <v>0</v>
      </c>
      <c r="O84" s="60">
        <f t="shared" si="14"/>
        <v>8</v>
      </c>
      <c r="P84" s="60">
        <f t="shared" si="14"/>
        <v>8</v>
      </c>
      <c r="Q84" s="60">
        <f t="shared" si="14"/>
        <v>38.5</v>
      </c>
      <c r="R84" s="60">
        <f t="shared" ref="R84:AA84" si="15">SUMIF(R73:R83,"&gt;0")</f>
        <v>51.4</v>
      </c>
      <c r="S84" s="60">
        <f t="shared" si="15"/>
        <v>25.5</v>
      </c>
      <c r="T84" s="60">
        <f t="shared" si="15"/>
        <v>54.2</v>
      </c>
      <c r="U84" s="60">
        <f t="shared" si="15"/>
        <v>30.3</v>
      </c>
      <c r="V84" s="60">
        <f t="shared" si="15"/>
        <v>33.4</v>
      </c>
      <c r="W84" s="60">
        <f t="shared" si="15"/>
        <v>31.2</v>
      </c>
      <c r="X84" s="60">
        <f t="shared" si="15"/>
        <v>20.7</v>
      </c>
      <c r="Y84" s="60">
        <f t="shared" si="15"/>
        <v>30.6</v>
      </c>
      <c r="Z84" s="60">
        <f t="shared" si="15"/>
        <v>32.4</v>
      </c>
      <c r="AA84" s="60">
        <f t="shared" si="15"/>
        <v>47.1</v>
      </c>
      <c r="AB84" s="60">
        <f t="shared" si="14"/>
        <v>51.9</v>
      </c>
      <c r="AC84" s="60">
        <f t="shared" si="14"/>
        <v>22.1</v>
      </c>
      <c r="AD84" s="60">
        <f t="shared" si="14"/>
        <v>15.1</v>
      </c>
      <c r="AE84" s="60">
        <f t="shared" si="14"/>
        <v>17.7</v>
      </c>
      <c r="AF84" s="60">
        <f t="shared" si="14"/>
        <v>7.4</v>
      </c>
      <c r="AG84" s="87">
        <f>SUM(AG73:AG83)</f>
        <v>0</v>
      </c>
      <c r="AH84" s="47">
        <f t="shared" si="12"/>
        <v>54.2</v>
      </c>
      <c r="AI84" s="48">
        <f t="shared" si="13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2066.9700000000003</v>
      </c>
      <c r="C89" s="94">
        <f t="shared" si="16"/>
        <v>2015.0700000000002</v>
      </c>
      <c r="D89" s="94">
        <f t="shared" si="16"/>
        <v>2009.4700000000003</v>
      </c>
      <c r="E89" s="94">
        <f t="shared" si="16"/>
        <v>1999.17</v>
      </c>
      <c r="F89" s="94">
        <f t="shared" si="16"/>
        <v>1959.3700000000001</v>
      </c>
      <c r="G89" s="94">
        <f t="shared" si="16"/>
        <v>1945.4700000000003</v>
      </c>
      <c r="H89" s="94">
        <f t="shared" si="16"/>
        <v>1960.9700000000003</v>
      </c>
      <c r="I89" s="94">
        <f t="shared" si="16"/>
        <v>1960.8700000000003</v>
      </c>
      <c r="J89" s="94">
        <f t="shared" si="16"/>
        <v>1985.7400000000002</v>
      </c>
      <c r="K89" s="94">
        <f t="shared" si="16"/>
        <v>1998.4400000000003</v>
      </c>
      <c r="L89" s="94">
        <f t="shared" si="16"/>
        <v>2030.8400000000001</v>
      </c>
      <c r="M89" s="94">
        <f t="shared" si="16"/>
        <v>2050.54</v>
      </c>
      <c r="N89" s="94">
        <f t="shared" si="16"/>
        <v>2065.94</v>
      </c>
      <c r="O89" s="94">
        <f t="shared" si="16"/>
        <v>2089.8399999999997</v>
      </c>
      <c r="P89" s="94">
        <f t="shared" si="16"/>
        <v>2111.14</v>
      </c>
      <c r="Q89" s="94">
        <f t="shared" si="16"/>
        <v>2190.64</v>
      </c>
      <c r="R89" s="94">
        <f t="shared" ref="R89:AA89" si="17">R50+R54+R72+R68+R84+R88</f>
        <v>2186.14</v>
      </c>
      <c r="S89" s="94">
        <f t="shared" si="17"/>
        <v>2142.7400000000002</v>
      </c>
      <c r="T89" s="94">
        <f t="shared" si="17"/>
        <v>2142.64</v>
      </c>
      <c r="U89" s="94">
        <f t="shared" si="17"/>
        <v>2116.84</v>
      </c>
      <c r="V89" s="94">
        <f t="shared" si="17"/>
        <v>2078.94</v>
      </c>
      <c r="W89" s="94">
        <f t="shared" si="17"/>
        <v>2076.84</v>
      </c>
      <c r="X89" s="94">
        <f t="shared" si="17"/>
        <v>2086.54</v>
      </c>
      <c r="Y89" s="94">
        <f t="shared" si="17"/>
        <v>2155.14</v>
      </c>
      <c r="Z89" s="94">
        <f t="shared" si="17"/>
        <v>2190.54</v>
      </c>
      <c r="AA89" s="94">
        <f t="shared" si="17"/>
        <v>2257.8399999999997</v>
      </c>
      <c r="AB89" s="94">
        <f t="shared" si="16"/>
        <v>2203.64</v>
      </c>
      <c r="AC89" s="94">
        <f t="shared" si="16"/>
        <v>2176.8399999999997</v>
      </c>
      <c r="AD89" s="94">
        <f t="shared" si="16"/>
        <v>2146.14</v>
      </c>
      <c r="AE89" s="94">
        <f t="shared" si="16"/>
        <v>2098.54</v>
      </c>
      <c r="AF89" s="94">
        <f t="shared" si="16"/>
        <v>2092.0400000000004</v>
      </c>
      <c r="AG89" s="61">
        <f t="shared" si="16"/>
        <v>2111.5500000000002</v>
      </c>
      <c r="AH89" s="47">
        <f t="shared" si="12"/>
        <v>2257.8399999999997</v>
      </c>
      <c r="AI89" s="48">
        <f t="shared" si="13"/>
        <v>1945.4700000000003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>
        <v>25</v>
      </c>
      <c r="H90" s="96">
        <v>20</v>
      </c>
      <c r="I90" s="96">
        <v>40</v>
      </c>
      <c r="J90" s="96">
        <v>60</v>
      </c>
      <c r="K90" s="96">
        <v>30</v>
      </c>
      <c r="L90" s="96">
        <v>0</v>
      </c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60</v>
      </c>
      <c r="AI90" s="48">
        <f t="shared" si="13"/>
        <v>0</v>
      </c>
    </row>
    <row r="91" spans="1:40" ht="15.75" thickBot="1" x14ac:dyDescent="0.3">
      <c r="A91" s="73" t="s">
        <v>102</v>
      </c>
      <c r="B91" s="94">
        <f t="shared" ref="B91:AF91" si="18">B89+B90</f>
        <v>2066.9700000000003</v>
      </c>
      <c r="C91" s="94">
        <f t="shared" si="18"/>
        <v>2015.0700000000002</v>
      </c>
      <c r="D91" s="94">
        <f t="shared" si="18"/>
        <v>2009.4700000000003</v>
      </c>
      <c r="E91" s="94">
        <f t="shared" si="18"/>
        <v>1999.17</v>
      </c>
      <c r="F91" s="94">
        <f t="shared" si="18"/>
        <v>1959.3700000000001</v>
      </c>
      <c r="G91" s="94">
        <f t="shared" si="18"/>
        <v>1970.4700000000003</v>
      </c>
      <c r="H91" s="94">
        <f t="shared" si="18"/>
        <v>1980.9700000000003</v>
      </c>
      <c r="I91" s="94">
        <f t="shared" si="18"/>
        <v>2000.8700000000003</v>
      </c>
      <c r="J91" s="94">
        <f t="shared" si="18"/>
        <v>2045.7400000000002</v>
      </c>
      <c r="K91" s="94">
        <f t="shared" si="18"/>
        <v>2028.4400000000003</v>
      </c>
      <c r="L91" s="94">
        <f t="shared" si="18"/>
        <v>2030.8400000000001</v>
      </c>
      <c r="M91" s="94">
        <f t="shared" si="18"/>
        <v>2050.54</v>
      </c>
      <c r="N91" s="94">
        <f t="shared" si="18"/>
        <v>2065.94</v>
      </c>
      <c r="O91" s="94">
        <f t="shared" si="18"/>
        <v>2089.8399999999997</v>
      </c>
      <c r="P91" s="94">
        <f t="shared" si="18"/>
        <v>2111.14</v>
      </c>
      <c r="Q91" s="94">
        <f t="shared" si="18"/>
        <v>2190.64</v>
      </c>
      <c r="R91" s="94">
        <f t="shared" ref="R91:AA91" si="19">R89+R90</f>
        <v>2186.14</v>
      </c>
      <c r="S91" s="94">
        <f t="shared" si="19"/>
        <v>2142.7400000000002</v>
      </c>
      <c r="T91" s="94">
        <f t="shared" si="19"/>
        <v>2142.64</v>
      </c>
      <c r="U91" s="94">
        <f t="shared" si="19"/>
        <v>2116.84</v>
      </c>
      <c r="V91" s="94">
        <f t="shared" si="19"/>
        <v>2078.94</v>
      </c>
      <c r="W91" s="94">
        <f t="shared" si="19"/>
        <v>2076.84</v>
      </c>
      <c r="X91" s="94">
        <f t="shared" si="19"/>
        <v>2086.54</v>
      </c>
      <c r="Y91" s="94">
        <f t="shared" si="19"/>
        <v>2155.14</v>
      </c>
      <c r="Z91" s="94">
        <f t="shared" si="19"/>
        <v>2190.54</v>
      </c>
      <c r="AA91" s="94">
        <f t="shared" si="19"/>
        <v>2257.8399999999997</v>
      </c>
      <c r="AB91" s="94">
        <f t="shared" si="18"/>
        <v>2203.64</v>
      </c>
      <c r="AC91" s="94">
        <f t="shared" si="18"/>
        <v>2176.8399999999997</v>
      </c>
      <c r="AD91" s="94">
        <f t="shared" si="18"/>
        <v>2146.14</v>
      </c>
      <c r="AE91" s="94">
        <f t="shared" si="18"/>
        <v>2098.54</v>
      </c>
      <c r="AF91" s="94">
        <f t="shared" si="18"/>
        <v>2092.0400000000004</v>
      </c>
      <c r="AG91" s="87">
        <f>AG88+AG84+AG72+AG68+AG50+AG90</f>
        <v>1573.45</v>
      </c>
      <c r="AH91" s="47">
        <f t="shared" si="12"/>
        <v>2257.8399999999997</v>
      </c>
      <c r="AI91" s="48">
        <f t="shared" si="13"/>
        <v>1959.3700000000001</v>
      </c>
    </row>
    <row r="92" spans="1:40" ht="15.75" thickBot="1" x14ac:dyDescent="0.3">
      <c r="A92" s="73" t="s">
        <v>103</v>
      </c>
      <c r="B92" s="94">
        <f>B91-(-B99)</f>
        <v>1757.9700000000003</v>
      </c>
      <c r="C92" s="94">
        <f t="shared" ref="C92:AF92" si="20">C91-(-C99)</f>
        <v>1683.0700000000002</v>
      </c>
      <c r="D92" s="94">
        <f t="shared" si="20"/>
        <v>1666.4700000000003</v>
      </c>
      <c r="E92" s="94">
        <f t="shared" si="20"/>
        <v>1641.47</v>
      </c>
      <c r="F92" s="94">
        <f t="shared" si="20"/>
        <v>1589.3700000000001</v>
      </c>
      <c r="G92" s="94">
        <f t="shared" si="20"/>
        <v>1532.2700000000002</v>
      </c>
      <c r="H92" s="94">
        <f t="shared" si="20"/>
        <v>1575.9700000000003</v>
      </c>
      <c r="I92" s="94">
        <f t="shared" si="20"/>
        <v>1541.1700000000003</v>
      </c>
      <c r="J92" s="94">
        <f t="shared" si="20"/>
        <v>1610.7400000000002</v>
      </c>
      <c r="K92" s="94">
        <f t="shared" si="20"/>
        <v>1630.4400000000003</v>
      </c>
      <c r="L92" s="94">
        <f t="shared" si="20"/>
        <v>1577.8400000000001</v>
      </c>
      <c r="M92" s="94">
        <f t="shared" si="20"/>
        <v>1630.54</v>
      </c>
      <c r="N92" s="94">
        <f t="shared" si="20"/>
        <v>1663.94</v>
      </c>
      <c r="O92" s="94">
        <f t="shared" si="20"/>
        <v>1663.8399999999997</v>
      </c>
      <c r="P92" s="94">
        <f t="shared" si="20"/>
        <v>1722.1399999999999</v>
      </c>
      <c r="Q92" s="94">
        <f t="shared" si="20"/>
        <v>1769.6399999999999</v>
      </c>
      <c r="R92" s="94">
        <f t="shared" ref="R92:AA92" si="21">R91-(-R99)</f>
        <v>1768.34</v>
      </c>
      <c r="S92" s="94">
        <f t="shared" si="21"/>
        <v>1737.7400000000002</v>
      </c>
      <c r="T92" s="94">
        <f t="shared" si="21"/>
        <v>1752.54</v>
      </c>
      <c r="U92" s="94">
        <f t="shared" si="21"/>
        <v>1737.64</v>
      </c>
      <c r="V92" s="94">
        <f t="shared" si="21"/>
        <v>1686.74</v>
      </c>
      <c r="W92" s="94">
        <f t="shared" si="21"/>
        <v>1655.8400000000001</v>
      </c>
      <c r="X92" s="94">
        <f t="shared" si="21"/>
        <v>1649.34</v>
      </c>
      <c r="Y92" s="94">
        <f t="shared" si="21"/>
        <v>1774.4399999999998</v>
      </c>
      <c r="Z92" s="94">
        <f t="shared" si="21"/>
        <v>1841.54</v>
      </c>
      <c r="AA92" s="94">
        <f t="shared" si="21"/>
        <v>1919.3399999999997</v>
      </c>
      <c r="AB92" s="94">
        <f t="shared" si="20"/>
        <v>1842.6399999999999</v>
      </c>
      <c r="AC92" s="94">
        <f t="shared" si="20"/>
        <v>1834.3399999999997</v>
      </c>
      <c r="AD92" s="94">
        <f t="shared" si="20"/>
        <v>1806.6399999999999</v>
      </c>
      <c r="AE92" s="94">
        <f t="shared" si="20"/>
        <v>1744.94</v>
      </c>
      <c r="AF92" s="94">
        <f t="shared" si="20"/>
        <v>1774.0400000000004</v>
      </c>
      <c r="AG92" s="87"/>
      <c r="AH92" s="47">
        <f t="shared" si="12"/>
        <v>1919.3399999999997</v>
      </c>
      <c r="AI92" s="48">
        <f t="shared" si="13"/>
        <v>1532.2700000000002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B75</f>
        <v>-309</v>
      </c>
      <c r="C99" s="60">
        <f t="shared" ref="C99:AF99" si="22">C75</f>
        <v>-332</v>
      </c>
      <c r="D99" s="60">
        <f t="shared" si="22"/>
        <v>-343</v>
      </c>
      <c r="E99" s="60">
        <f t="shared" si="22"/>
        <v>-357.7</v>
      </c>
      <c r="F99" s="60">
        <f t="shared" si="22"/>
        <v>-370</v>
      </c>
      <c r="G99" s="60">
        <f t="shared" si="22"/>
        <v>-438.2</v>
      </c>
      <c r="H99" s="60">
        <f t="shared" si="22"/>
        <v>-405</v>
      </c>
      <c r="I99" s="60">
        <f t="shared" si="22"/>
        <v>-459.7</v>
      </c>
      <c r="J99" s="60">
        <f t="shared" si="22"/>
        <v>-435</v>
      </c>
      <c r="K99" s="60">
        <f t="shared" si="22"/>
        <v>-398</v>
      </c>
      <c r="L99" s="60">
        <f t="shared" si="22"/>
        <v>-453</v>
      </c>
      <c r="M99" s="60">
        <f t="shared" si="22"/>
        <v>-420</v>
      </c>
      <c r="N99" s="60">
        <f t="shared" si="22"/>
        <v>-402</v>
      </c>
      <c r="O99" s="60">
        <f t="shared" si="22"/>
        <v>-426</v>
      </c>
      <c r="P99" s="60">
        <f t="shared" si="22"/>
        <v>-389</v>
      </c>
      <c r="Q99" s="60">
        <f t="shared" si="22"/>
        <v>-421</v>
      </c>
      <c r="R99" s="60">
        <f t="shared" ref="R99:AA99" si="23">R75</f>
        <v>-417.8</v>
      </c>
      <c r="S99" s="60">
        <f t="shared" si="23"/>
        <v>-405</v>
      </c>
      <c r="T99" s="60">
        <f t="shared" si="23"/>
        <v>-390.1</v>
      </c>
      <c r="U99" s="60">
        <f t="shared" si="23"/>
        <v>-379.2</v>
      </c>
      <c r="V99" s="60">
        <f t="shared" si="23"/>
        <v>-392.2</v>
      </c>
      <c r="W99" s="60">
        <f t="shared" si="23"/>
        <v>-421</v>
      </c>
      <c r="X99" s="60">
        <f t="shared" si="23"/>
        <v>-437.2</v>
      </c>
      <c r="Y99" s="60">
        <f t="shared" si="23"/>
        <v>-380.7</v>
      </c>
      <c r="Z99" s="60">
        <f t="shared" si="23"/>
        <v>-349</v>
      </c>
      <c r="AA99" s="60">
        <f t="shared" si="23"/>
        <v>-338.5</v>
      </c>
      <c r="AB99" s="60">
        <f t="shared" si="22"/>
        <v>-361</v>
      </c>
      <c r="AC99" s="60">
        <f t="shared" si="22"/>
        <v>-342.5</v>
      </c>
      <c r="AD99" s="60">
        <f t="shared" si="22"/>
        <v>-339.5</v>
      </c>
      <c r="AE99" s="60">
        <f t="shared" si="22"/>
        <v>-353.6</v>
      </c>
      <c r="AF99" s="60">
        <f t="shared" si="22"/>
        <v>-318</v>
      </c>
      <c r="AG99" s="87"/>
      <c r="AH99" s="47">
        <f t="shared" si="12"/>
        <v>-309</v>
      </c>
      <c r="AI99" s="48">
        <f t="shared" si="13"/>
        <v>-459.7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314</v>
      </c>
      <c r="C100" s="60">
        <f t="shared" si="24"/>
        <v>332</v>
      </c>
      <c r="D100" s="60">
        <f t="shared" si="24"/>
        <v>343</v>
      </c>
      <c r="E100" s="60">
        <f t="shared" si="24"/>
        <v>362.3</v>
      </c>
      <c r="F100" s="60">
        <f t="shared" si="24"/>
        <v>370</v>
      </c>
      <c r="G100" s="60">
        <f t="shared" si="24"/>
        <v>438.2</v>
      </c>
      <c r="H100" s="60">
        <f t="shared" si="24"/>
        <v>405</v>
      </c>
      <c r="I100" s="60">
        <f t="shared" si="24"/>
        <v>459.7</v>
      </c>
      <c r="J100" s="60">
        <f t="shared" si="24"/>
        <v>485</v>
      </c>
      <c r="K100" s="60">
        <f t="shared" si="24"/>
        <v>398</v>
      </c>
      <c r="L100" s="60">
        <f t="shared" si="24"/>
        <v>453</v>
      </c>
      <c r="M100" s="60">
        <f t="shared" si="24"/>
        <v>420</v>
      </c>
      <c r="N100" s="60">
        <f t="shared" si="24"/>
        <v>402</v>
      </c>
      <c r="O100" s="60">
        <f t="shared" si="24"/>
        <v>434</v>
      </c>
      <c r="P100" s="60">
        <f t="shared" si="24"/>
        <v>397</v>
      </c>
      <c r="Q100" s="60">
        <f t="shared" si="24"/>
        <v>459.5</v>
      </c>
      <c r="R100" s="60">
        <f t="shared" ref="R100:AA100" si="25">R84-R99</f>
        <v>469.2</v>
      </c>
      <c r="S100" s="60">
        <f t="shared" si="25"/>
        <v>430.5</v>
      </c>
      <c r="T100" s="60">
        <f t="shared" si="25"/>
        <v>444.3</v>
      </c>
      <c r="U100" s="60">
        <f t="shared" si="25"/>
        <v>409.5</v>
      </c>
      <c r="V100" s="60">
        <f t="shared" si="25"/>
        <v>425.59999999999997</v>
      </c>
      <c r="W100" s="60">
        <f t="shared" si="25"/>
        <v>452.2</v>
      </c>
      <c r="X100" s="60">
        <f t="shared" si="25"/>
        <v>457.9</v>
      </c>
      <c r="Y100" s="60">
        <f t="shared" si="25"/>
        <v>411.3</v>
      </c>
      <c r="Z100" s="60">
        <f t="shared" si="25"/>
        <v>381.4</v>
      </c>
      <c r="AA100" s="60">
        <f t="shared" si="25"/>
        <v>385.6</v>
      </c>
      <c r="AB100" s="60">
        <f t="shared" si="24"/>
        <v>412.9</v>
      </c>
      <c r="AC100" s="60">
        <f t="shared" si="24"/>
        <v>364.6</v>
      </c>
      <c r="AD100" s="60">
        <f t="shared" si="24"/>
        <v>354.6</v>
      </c>
      <c r="AE100" s="60">
        <f t="shared" si="24"/>
        <v>371.3</v>
      </c>
      <c r="AF100" s="60">
        <f t="shared" si="24"/>
        <v>325.39999999999998</v>
      </c>
      <c r="AG100" s="87"/>
      <c r="AH100" s="47">
        <f t="shared" si="12"/>
        <v>485</v>
      </c>
      <c r="AI100" s="48">
        <f t="shared" si="13"/>
        <v>314</v>
      </c>
    </row>
    <row r="101" spans="1:37" x14ac:dyDescent="0.25">
      <c r="A101" s="99" t="s">
        <v>109</v>
      </c>
      <c r="B101" s="100">
        <v>50.066000000000003</v>
      </c>
      <c r="C101" s="100">
        <v>50.042000000000002</v>
      </c>
      <c r="D101" s="100">
        <v>50.067999999999998</v>
      </c>
      <c r="E101" s="100">
        <v>50.09</v>
      </c>
      <c r="F101" s="100">
        <v>50.003</v>
      </c>
      <c r="G101" s="100">
        <v>50.024000000000001</v>
      </c>
      <c r="H101" s="100">
        <v>50.075000000000003</v>
      </c>
      <c r="I101" s="100">
        <v>50.003999999999998</v>
      </c>
      <c r="J101" s="100">
        <v>50.036999999999999</v>
      </c>
      <c r="K101" s="100">
        <v>50.061999999999998</v>
      </c>
      <c r="L101" s="100">
        <v>50.036999999999999</v>
      </c>
      <c r="M101" s="100">
        <v>50.097000000000001</v>
      </c>
      <c r="N101" s="100">
        <v>50.097000000000001</v>
      </c>
      <c r="O101" s="100">
        <v>50.097000000000001</v>
      </c>
      <c r="P101" s="100">
        <v>49.927</v>
      </c>
      <c r="Q101" s="100">
        <v>49.911000000000001</v>
      </c>
      <c r="R101" s="100">
        <v>49.82</v>
      </c>
      <c r="S101" s="100">
        <v>49.97</v>
      </c>
      <c r="T101" s="100">
        <v>49.87</v>
      </c>
      <c r="U101" s="100">
        <v>50.015999999999998</v>
      </c>
      <c r="V101" s="100">
        <v>50.072000000000003</v>
      </c>
      <c r="W101" s="100">
        <v>50.03</v>
      </c>
      <c r="X101" s="100">
        <v>50.024999999999999</v>
      </c>
      <c r="Y101" s="100">
        <v>50.093000000000004</v>
      </c>
      <c r="Z101" s="100">
        <v>50.018999999999998</v>
      </c>
      <c r="AA101" s="100">
        <v>50.033999999999999</v>
      </c>
      <c r="AB101" s="100">
        <v>50.125</v>
      </c>
      <c r="AC101" s="100">
        <v>50.082000000000001</v>
      </c>
      <c r="AD101" s="100">
        <v>50.031999999999996</v>
      </c>
      <c r="AE101" s="100">
        <v>50.103000000000002</v>
      </c>
      <c r="AF101" s="100">
        <v>50.01</v>
      </c>
      <c r="AG101" s="101"/>
      <c r="AH101" s="47">
        <f t="shared" si="12"/>
        <v>50.125</v>
      </c>
      <c r="AI101" s="48">
        <f t="shared" si="13"/>
        <v>49.82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129.4</v>
      </c>
      <c r="C103" s="64">
        <v>130</v>
      </c>
      <c r="D103" s="64">
        <v>130.19999999999999</v>
      </c>
      <c r="E103" s="64">
        <v>130.4</v>
      </c>
      <c r="F103" s="64">
        <v>130.4</v>
      </c>
      <c r="G103" s="64">
        <v>130.4</v>
      </c>
      <c r="H103" s="64">
        <v>129.5</v>
      </c>
      <c r="I103" s="64">
        <v>127.9</v>
      </c>
      <c r="J103" s="64">
        <v>126.4</v>
      </c>
      <c r="K103" s="64">
        <v>126.9</v>
      </c>
      <c r="L103" s="64">
        <v>125.2</v>
      </c>
      <c r="M103" s="64">
        <v>126.3</v>
      </c>
      <c r="N103" s="64">
        <v>126.3</v>
      </c>
      <c r="O103" s="64">
        <v>126.3</v>
      </c>
      <c r="P103" s="64">
        <v>126.3</v>
      </c>
      <c r="Q103" s="64">
        <v>125.7</v>
      </c>
      <c r="R103" s="64">
        <v>126.8</v>
      </c>
      <c r="S103" s="64">
        <v>124.9</v>
      </c>
      <c r="T103" s="64">
        <v>124.9</v>
      </c>
      <c r="U103" s="64">
        <v>125.8</v>
      </c>
      <c r="V103" s="64">
        <v>127.7</v>
      </c>
      <c r="W103" s="64">
        <v>64.400000000000006</v>
      </c>
      <c r="X103" s="64">
        <v>64.3</v>
      </c>
      <c r="Y103" s="64">
        <v>127.1</v>
      </c>
      <c r="Z103" s="64">
        <v>127.1</v>
      </c>
      <c r="AA103" s="64">
        <v>127.1</v>
      </c>
      <c r="AB103" s="64">
        <v>128.1</v>
      </c>
      <c r="AC103" s="64">
        <v>127.8</v>
      </c>
      <c r="AD103" s="64">
        <v>128.6</v>
      </c>
      <c r="AE103" s="64">
        <v>128.5</v>
      </c>
      <c r="AF103" s="64">
        <v>128.80000000000001</v>
      </c>
      <c r="AG103" s="103"/>
      <c r="AH103" s="47">
        <f t="shared" si="12"/>
        <v>130.4</v>
      </c>
      <c r="AI103" s="48">
        <f t="shared" si="13"/>
        <v>64.3</v>
      </c>
    </row>
    <row r="104" spans="1:37" x14ac:dyDescent="0.25">
      <c r="A104" s="102" t="s">
        <v>112</v>
      </c>
      <c r="B104" s="64">
        <v>126.7</v>
      </c>
      <c r="C104" s="64">
        <v>130</v>
      </c>
      <c r="D104" s="64">
        <v>129.80000000000001</v>
      </c>
      <c r="E104" s="64">
        <v>131.6</v>
      </c>
      <c r="F104" s="64">
        <v>130.6</v>
      </c>
      <c r="G104" s="64">
        <v>129.30000000000001</v>
      </c>
      <c r="H104" s="64">
        <v>129.19999999999999</v>
      </c>
      <c r="I104" s="64">
        <v>127.1</v>
      </c>
      <c r="J104" s="64">
        <v>126.8</v>
      </c>
      <c r="K104" s="64">
        <v>127.5</v>
      </c>
      <c r="L104" s="64">
        <v>129</v>
      </c>
      <c r="M104" s="64">
        <v>128.19999999999999</v>
      </c>
      <c r="N104" s="64">
        <v>128.19999999999999</v>
      </c>
      <c r="O104" s="64">
        <v>128.19999999999999</v>
      </c>
      <c r="P104" s="64">
        <v>126.3</v>
      </c>
      <c r="Q104" s="64">
        <v>128.1</v>
      </c>
      <c r="R104" s="64">
        <v>128.80000000000001</v>
      </c>
      <c r="S104" s="64">
        <v>126.7</v>
      </c>
      <c r="T104" s="64">
        <v>124.3</v>
      </c>
      <c r="U104" s="64">
        <v>125.5</v>
      </c>
      <c r="V104" s="64">
        <v>128.5</v>
      </c>
      <c r="W104" s="64">
        <v>124.5</v>
      </c>
      <c r="X104" s="64">
        <v>126.9</v>
      </c>
      <c r="Y104" s="64">
        <v>126.5</v>
      </c>
      <c r="Z104" s="64">
        <v>127.1</v>
      </c>
      <c r="AA104" s="64">
        <v>126.8</v>
      </c>
      <c r="AB104" s="64">
        <v>126.9</v>
      </c>
      <c r="AC104" s="64">
        <v>124.2</v>
      </c>
      <c r="AD104" s="64">
        <v>126.6</v>
      </c>
      <c r="AE104" s="64">
        <v>124.1</v>
      </c>
      <c r="AF104" s="64">
        <v>124.5</v>
      </c>
      <c r="AG104" s="103"/>
      <c r="AH104" s="47">
        <f t="shared" si="12"/>
        <v>131.6</v>
      </c>
      <c r="AI104" s="48">
        <f t="shared" si="13"/>
        <v>124.1</v>
      </c>
    </row>
    <row r="105" spans="1:37" x14ac:dyDescent="0.25">
      <c r="A105" s="104" t="s">
        <v>113</v>
      </c>
      <c r="B105" s="64">
        <v>130</v>
      </c>
      <c r="C105" s="64">
        <v>132</v>
      </c>
      <c r="D105" s="64">
        <v>132.6</v>
      </c>
      <c r="E105" s="64">
        <v>134.19999999999999</v>
      </c>
      <c r="F105" s="64">
        <v>134.30000000000001</v>
      </c>
      <c r="G105" s="64">
        <v>132.9</v>
      </c>
      <c r="H105" s="64">
        <v>132.80000000000001</v>
      </c>
      <c r="I105" s="64">
        <v>131.4</v>
      </c>
      <c r="J105" s="64">
        <v>130</v>
      </c>
      <c r="K105" s="64">
        <v>130.1</v>
      </c>
      <c r="L105" s="64">
        <v>130.30000000000001</v>
      </c>
      <c r="M105" s="64">
        <v>130.69999999999999</v>
      </c>
      <c r="N105" s="64">
        <v>130.69999999999999</v>
      </c>
      <c r="O105" s="64">
        <v>130.69999999999999</v>
      </c>
      <c r="P105" s="64">
        <v>123.6</v>
      </c>
      <c r="Q105" s="64">
        <v>132.1</v>
      </c>
      <c r="R105" s="64">
        <v>132.69999999999999</v>
      </c>
      <c r="S105" s="64">
        <v>129.30000000000001</v>
      </c>
      <c r="T105" s="64">
        <v>126.7</v>
      </c>
      <c r="U105" s="64">
        <v>129.6</v>
      </c>
      <c r="V105" s="64">
        <v>129.6</v>
      </c>
      <c r="W105" s="64">
        <v>128</v>
      </c>
      <c r="X105" s="64">
        <v>130.9</v>
      </c>
      <c r="Y105" s="64">
        <v>131.19999999999999</v>
      </c>
      <c r="Z105" s="64">
        <v>130.19999999999999</v>
      </c>
      <c r="AA105" s="64">
        <v>131.5</v>
      </c>
      <c r="AB105" s="64">
        <v>130.69999999999999</v>
      </c>
      <c r="AC105" s="64">
        <v>129.19999999999999</v>
      </c>
      <c r="AD105" s="64">
        <v>130.5</v>
      </c>
      <c r="AE105" s="64">
        <v>128.80000000000001</v>
      </c>
      <c r="AF105" s="64">
        <v>128.9</v>
      </c>
      <c r="AG105" s="103"/>
      <c r="AH105" s="47">
        <f t="shared" si="12"/>
        <v>134.30000000000001</v>
      </c>
      <c r="AI105" s="48">
        <f t="shared" si="13"/>
        <v>123.6</v>
      </c>
    </row>
    <row r="106" spans="1:37" x14ac:dyDescent="0.25">
      <c r="A106" s="104" t="s">
        <v>114</v>
      </c>
      <c r="B106" s="105">
        <v>132.6</v>
      </c>
      <c r="C106" s="105">
        <v>133</v>
      </c>
      <c r="D106" s="105">
        <v>134.1</v>
      </c>
      <c r="E106" s="105">
        <v>133.5</v>
      </c>
      <c r="F106" s="105">
        <v>133.1</v>
      </c>
      <c r="G106" s="105">
        <v>133.9</v>
      </c>
      <c r="H106" s="105">
        <v>133.30000000000001</v>
      </c>
      <c r="I106" s="105">
        <v>132.9</v>
      </c>
      <c r="J106" s="105">
        <v>130.19999999999999</v>
      </c>
      <c r="K106" s="105">
        <v>129.80000000000001</v>
      </c>
      <c r="L106" s="105">
        <v>128.4</v>
      </c>
      <c r="M106" s="105">
        <v>128.80000000000001</v>
      </c>
      <c r="N106" s="105">
        <v>128.80000000000001</v>
      </c>
      <c r="O106" s="105">
        <v>128.80000000000001</v>
      </c>
      <c r="P106" s="105">
        <v>130.9</v>
      </c>
      <c r="Q106" s="105">
        <v>131.4</v>
      </c>
      <c r="R106" s="105">
        <v>131.19999999999999</v>
      </c>
      <c r="S106" s="105">
        <v>129.4</v>
      </c>
      <c r="T106" s="105">
        <v>130.9</v>
      </c>
      <c r="U106" s="105">
        <v>133.30000000000001</v>
      </c>
      <c r="V106" s="105">
        <v>133.30000000000001</v>
      </c>
      <c r="W106" s="105">
        <v>135.19999999999999</v>
      </c>
      <c r="X106" s="105">
        <v>133.19999999999999</v>
      </c>
      <c r="Y106" s="105">
        <v>134.4</v>
      </c>
      <c r="Z106" s="105">
        <v>130.6</v>
      </c>
      <c r="AA106" s="105">
        <v>130.6</v>
      </c>
      <c r="AB106" s="105">
        <v>132.19999999999999</v>
      </c>
      <c r="AC106" s="105">
        <v>129.80000000000001</v>
      </c>
      <c r="AD106" s="105">
        <v>130.69999999999999</v>
      </c>
      <c r="AE106" s="105">
        <v>130.9</v>
      </c>
      <c r="AF106" s="105">
        <v>131.30000000000001</v>
      </c>
      <c r="AG106" s="106"/>
      <c r="AH106" s="47">
        <f t="shared" si="12"/>
        <v>135.19999999999999</v>
      </c>
      <c r="AI106" s="48">
        <f t="shared" si="13"/>
        <v>128.4</v>
      </c>
    </row>
    <row r="107" spans="1:37" x14ac:dyDescent="0.25">
      <c r="A107" s="102" t="s">
        <v>115</v>
      </c>
      <c r="B107" s="64">
        <v>133.19999999999999</v>
      </c>
      <c r="C107" s="64">
        <v>128</v>
      </c>
      <c r="D107" s="64">
        <v>130.69999999999999</v>
      </c>
      <c r="E107" s="64">
        <v>128</v>
      </c>
      <c r="F107" s="64">
        <v>128.6</v>
      </c>
      <c r="G107" s="64">
        <v>128.5</v>
      </c>
      <c r="H107" s="64">
        <v>129</v>
      </c>
      <c r="I107" s="64">
        <v>134.5</v>
      </c>
      <c r="J107" s="64">
        <v>136.1</v>
      </c>
      <c r="K107" s="64">
        <v>136.1</v>
      </c>
      <c r="L107" s="64">
        <v>133.69999999999999</v>
      </c>
      <c r="M107" s="64">
        <v>129.19999999999999</v>
      </c>
      <c r="N107" s="64">
        <v>129.19999999999999</v>
      </c>
      <c r="O107" s="64">
        <v>129.19999999999999</v>
      </c>
      <c r="P107" s="64">
        <v>129.6</v>
      </c>
      <c r="Q107" s="64">
        <v>130.19999999999999</v>
      </c>
      <c r="R107" s="64">
        <v>129.69999999999999</v>
      </c>
      <c r="S107" s="64">
        <v>133.19999999999999</v>
      </c>
      <c r="T107" s="64">
        <v>127.4</v>
      </c>
      <c r="U107" s="64">
        <v>126.7</v>
      </c>
      <c r="V107" s="64">
        <v>126.7</v>
      </c>
      <c r="W107" s="64">
        <v>133.19999999999999</v>
      </c>
      <c r="X107" s="64">
        <v>131.5</v>
      </c>
      <c r="Y107" s="64">
        <v>129.4</v>
      </c>
      <c r="Z107" s="64">
        <v>133.69999999999999</v>
      </c>
      <c r="AA107" s="64">
        <v>127.8</v>
      </c>
      <c r="AB107" s="64">
        <v>129.30000000000001</v>
      </c>
      <c r="AC107" s="64">
        <v>128.1</v>
      </c>
      <c r="AD107" s="64">
        <v>131.19999999999999</v>
      </c>
      <c r="AE107" s="64">
        <v>130.19999999999999</v>
      </c>
      <c r="AF107" s="64">
        <v>131.5</v>
      </c>
      <c r="AG107" s="103"/>
      <c r="AH107" s="47">
        <f t="shared" si="12"/>
        <v>136.1</v>
      </c>
      <c r="AI107" s="48">
        <f t="shared" si="13"/>
        <v>126.7</v>
      </c>
    </row>
    <row r="108" spans="1:37" ht="15.75" thickBot="1" x14ac:dyDescent="0.3">
      <c r="A108" s="102" t="s">
        <v>116</v>
      </c>
      <c r="B108" s="91">
        <v>65.099999999999994</v>
      </c>
      <c r="C108" s="91">
        <v>65.3</v>
      </c>
      <c r="D108" s="91">
        <v>65.599999999999994</v>
      </c>
      <c r="E108" s="91">
        <v>65.7</v>
      </c>
      <c r="F108" s="91">
        <v>65.7</v>
      </c>
      <c r="G108" s="91">
        <v>65.7</v>
      </c>
      <c r="H108" s="91">
        <v>65.099999999999994</v>
      </c>
      <c r="I108" s="91">
        <v>64.099999999999994</v>
      </c>
      <c r="J108" s="91">
        <v>64</v>
      </c>
      <c r="K108" s="91">
        <v>63.9</v>
      </c>
      <c r="L108" s="91">
        <v>62.8</v>
      </c>
      <c r="M108" s="91">
        <v>63.3</v>
      </c>
      <c r="N108" s="91">
        <v>63.3</v>
      </c>
      <c r="O108" s="91">
        <v>63.3</v>
      </c>
      <c r="P108" s="91">
        <v>62.9</v>
      </c>
      <c r="Q108" s="91">
        <v>62.6</v>
      </c>
      <c r="R108" s="91">
        <v>63.1</v>
      </c>
      <c r="S108" s="91">
        <v>62.3</v>
      </c>
      <c r="T108" s="91">
        <v>62.2</v>
      </c>
      <c r="U108" s="91">
        <v>62.5</v>
      </c>
      <c r="V108" s="91">
        <v>62.5</v>
      </c>
      <c r="W108" s="91">
        <v>64.3</v>
      </c>
      <c r="X108" s="91">
        <v>64.2</v>
      </c>
      <c r="Y108" s="91">
        <v>64.2</v>
      </c>
      <c r="Z108" s="91">
        <v>63.6</v>
      </c>
      <c r="AA108" s="91">
        <v>64.5</v>
      </c>
      <c r="AB108" s="91">
        <v>64</v>
      </c>
      <c r="AC108" s="91">
        <v>64</v>
      </c>
      <c r="AD108" s="91">
        <v>64.599999999999994</v>
      </c>
      <c r="AE108" s="91">
        <v>64.599999999999994</v>
      </c>
      <c r="AF108" s="91">
        <v>64.3</v>
      </c>
      <c r="AG108" s="107"/>
      <c r="AH108" s="47">
        <f t="shared" si="12"/>
        <v>65.7</v>
      </c>
      <c r="AI108" s="48">
        <f t="shared" si="13"/>
        <v>62.2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79.599999999999994</v>
      </c>
      <c r="C110" s="110">
        <f t="shared" si="26"/>
        <v>68.339999999999975</v>
      </c>
      <c r="D110" s="110">
        <f t="shared" si="26"/>
        <v>65.139999999999986</v>
      </c>
      <c r="E110" s="110">
        <f t="shared" si="26"/>
        <v>146.73999999999998</v>
      </c>
      <c r="F110" s="110">
        <f t="shared" si="26"/>
        <v>34.140000000000008</v>
      </c>
      <c r="G110" s="110">
        <f t="shared" si="26"/>
        <v>62.240000000000023</v>
      </c>
      <c r="H110" s="110">
        <f t="shared" si="26"/>
        <v>82.740000000000009</v>
      </c>
      <c r="I110" s="110">
        <f t="shared" si="26"/>
        <v>105.03999999999999</v>
      </c>
      <c r="J110" s="110">
        <f t="shared" si="26"/>
        <v>162.54000000000005</v>
      </c>
      <c r="K110" s="110">
        <f t="shared" si="26"/>
        <v>188.74</v>
      </c>
      <c r="L110" s="110">
        <f t="shared" si="26"/>
        <v>192.44000000000003</v>
      </c>
      <c r="M110" s="110">
        <f t="shared" si="26"/>
        <v>187.94000000000003</v>
      </c>
      <c r="N110" s="110">
        <f t="shared" si="26"/>
        <v>204.14000000000004</v>
      </c>
      <c r="O110" s="110">
        <f t="shared" si="26"/>
        <v>215.94</v>
      </c>
      <c r="P110" s="110">
        <v>42</v>
      </c>
      <c r="Q110" s="110">
        <f t="shared" ref="Q110:AC110" si="27">SUM(Q20,Q26,Q29:Q30,Q58,Q60:Q61,Q63,Q65,Q111:Q115,Q138,Q144,Q150,Q159,Q161,Q173,Q180,Q183:Q184,Q191,Q193,Q195,Q199:Q201,Q203:Q205,Q210,Q216:Q217,Q219:Q221,Q229,Q234)</f>
        <v>223.7</v>
      </c>
      <c r="R110" s="110">
        <f t="shared" si="27"/>
        <v>216.2</v>
      </c>
      <c r="S110" s="110">
        <f t="shared" si="27"/>
        <v>228.49999999999994</v>
      </c>
      <c r="T110" s="110">
        <f t="shared" si="27"/>
        <v>230.29999999999995</v>
      </c>
      <c r="U110" s="110">
        <f t="shared" si="27"/>
        <v>235.7</v>
      </c>
      <c r="V110" s="110">
        <f t="shared" si="27"/>
        <v>222</v>
      </c>
      <c r="W110" s="110">
        <f t="shared" si="27"/>
        <v>203.5</v>
      </c>
      <c r="X110" s="110">
        <f t="shared" si="27"/>
        <v>221.39999999999998</v>
      </c>
      <c r="Y110" s="110">
        <f t="shared" si="27"/>
        <v>253.60000000000002</v>
      </c>
      <c r="Z110" s="110">
        <f t="shared" si="27"/>
        <v>267.3</v>
      </c>
      <c r="AA110" s="110">
        <f t="shared" si="27"/>
        <v>257</v>
      </c>
      <c r="AB110" s="110">
        <f t="shared" si="27"/>
        <v>226.89999999999998</v>
      </c>
      <c r="AC110" s="110">
        <f t="shared" si="27"/>
        <v>205.2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114.3</v>
      </c>
      <c r="AF110" s="110">
        <f>SUM(AF20,AF26,AF29:AF30,AF58,AF60:AF61,AF63,AF65,AF111:AF115,AF138,AF144,AF150,AF159,AF161,AF173,AF180,AF183:AF184,AF191,AF193,AF195,AF199:AF201,AF203:AF205,AF210,AF216:AF217,AF219:AF221,AF229,AF234)</f>
        <v>100.2</v>
      </c>
      <c r="AG110" s="111"/>
      <c r="AH110" s="47">
        <f t="shared" si="12"/>
        <v>267.3</v>
      </c>
      <c r="AI110" s="48">
        <f t="shared" si="13"/>
        <v>34.140000000000008</v>
      </c>
    </row>
    <row r="111" spans="1:37" x14ac:dyDescent="0.25">
      <c r="A111" s="99" t="s">
        <v>119</v>
      </c>
      <c r="B111" s="112">
        <v>24.2</v>
      </c>
      <c r="C111" s="112">
        <v>26.2</v>
      </c>
      <c r="D111" s="112">
        <v>23.9</v>
      </c>
      <c r="E111" s="112">
        <v>29.2</v>
      </c>
      <c r="F111" s="112">
        <v>30.7</v>
      </c>
      <c r="G111" s="112">
        <v>30.3</v>
      </c>
      <c r="H111" s="112">
        <v>33.799999999999997</v>
      </c>
      <c r="I111" s="112">
        <v>36.700000000000003</v>
      </c>
      <c r="J111" s="112">
        <v>45.7</v>
      </c>
      <c r="K111" s="112">
        <v>45.5</v>
      </c>
      <c r="L111" s="112">
        <v>45.5</v>
      </c>
      <c r="M111" s="112">
        <v>45.6</v>
      </c>
      <c r="N111" s="112">
        <v>45.6</v>
      </c>
      <c r="O111" s="112">
        <v>40</v>
      </c>
      <c r="P111" s="112">
        <v>45.6</v>
      </c>
      <c r="Q111" s="112">
        <v>46.5</v>
      </c>
      <c r="R111" s="112">
        <v>41.5</v>
      </c>
      <c r="S111" s="112">
        <v>48.2</v>
      </c>
      <c r="T111" s="112">
        <v>45.2</v>
      </c>
      <c r="U111" s="112">
        <v>47.9</v>
      </c>
      <c r="V111" s="112">
        <v>41.9</v>
      </c>
      <c r="W111" s="112">
        <v>44.5</v>
      </c>
      <c r="X111" s="112">
        <v>46.8</v>
      </c>
      <c r="Y111" s="112">
        <v>51.1</v>
      </c>
      <c r="Z111" s="112">
        <v>49.6</v>
      </c>
      <c r="AA111" s="112">
        <v>44</v>
      </c>
      <c r="AB111" s="112">
        <v>50.5</v>
      </c>
      <c r="AC111" s="112">
        <v>41.8</v>
      </c>
      <c r="AD111" s="112">
        <v>34</v>
      </c>
      <c r="AE111" s="112">
        <v>25.7</v>
      </c>
      <c r="AF111" s="112">
        <v>16.3</v>
      </c>
      <c r="AG111" s="113">
        <v>75</v>
      </c>
      <c r="AH111" s="47">
        <f t="shared" si="12"/>
        <v>51.1</v>
      </c>
      <c r="AI111" s="48">
        <f t="shared" si="13"/>
        <v>16.3</v>
      </c>
    </row>
    <row r="112" spans="1:37" x14ac:dyDescent="0.25">
      <c r="A112" s="102" t="s">
        <v>120</v>
      </c>
      <c r="B112" s="114">
        <v>33.799999999999997</v>
      </c>
      <c r="C112" s="114">
        <v>36</v>
      </c>
      <c r="D112" s="114">
        <v>34</v>
      </c>
      <c r="E112" s="114">
        <v>40.5</v>
      </c>
      <c r="F112" s="114">
        <v>40.6</v>
      </c>
      <c r="G112" s="114">
        <v>40.299999999999997</v>
      </c>
      <c r="H112" s="114">
        <v>44</v>
      </c>
      <c r="I112" s="114">
        <v>45</v>
      </c>
      <c r="J112" s="114">
        <v>60.4</v>
      </c>
      <c r="K112" s="114">
        <v>61.1</v>
      </c>
      <c r="L112" s="114">
        <v>62.7</v>
      </c>
      <c r="M112" s="114">
        <v>61</v>
      </c>
      <c r="N112" s="114">
        <v>61</v>
      </c>
      <c r="O112" s="114">
        <v>68</v>
      </c>
      <c r="P112" s="114">
        <v>62.4</v>
      </c>
      <c r="Q112" s="114">
        <v>68.3</v>
      </c>
      <c r="R112" s="114">
        <v>61.1</v>
      </c>
      <c r="S112" s="114">
        <v>68.2</v>
      </c>
      <c r="T112" s="114">
        <v>63.9</v>
      </c>
      <c r="U112" s="114">
        <v>65.8</v>
      </c>
      <c r="V112" s="114">
        <v>56.2</v>
      </c>
      <c r="W112" s="114">
        <v>58</v>
      </c>
      <c r="X112" s="114">
        <v>63</v>
      </c>
      <c r="Y112" s="114">
        <v>70.400000000000006</v>
      </c>
      <c r="Z112" s="114">
        <v>70.5</v>
      </c>
      <c r="AA112" s="114">
        <v>63.3</v>
      </c>
      <c r="AB112" s="114">
        <v>72.099999999999994</v>
      </c>
      <c r="AC112" s="114">
        <v>60.6</v>
      </c>
      <c r="AD112" s="114">
        <v>49.3</v>
      </c>
      <c r="AE112" s="114">
        <v>37.200000000000003</v>
      </c>
      <c r="AF112" s="114">
        <v>25.6</v>
      </c>
      <c r="AG112" s="113">
        <v>240</v>
      </c>
      <c r="AH112" s="47">
        <f t="shared" si="12"/>
        <v>72.099999999999994</v>
      </c>
      <c r="AI112" s="48">
        <f t="shared" si="13"/>
        <v>25.6</v>
      </c>
    </row>
    <row r="113" spans="1:37" x14ac:dyDescent="0.25">
      <c r="A113" s="102" t="s">
        <v>121</v>
      </c>
      <c r="B113" s="114">
        <v>-130</v>
      </c>
      <c r="C113" s="114">
        <v>-125</v>
      </c>
      <c r="D113" s="114">
        <v>-126</v>
      </c>
      <c r="E113" s="114">
        <v>-57.1</v>
      </c>
      <c r="F113" s="114">
        <f>-59-62.5</f>
        <v>-121.5</v>
      </c>
      <c r="G113" s="114">
        <f>-57.1-60.5</f>
        <v>-117.6</v>
      </c>
      <c r="H113" s="114">
        <f>-55-57.7</f>
        <v>-112.7</v>
      </c>
      <c r="I113" s="114">
        <f>-54-58</f>
        <v>-112</v>
      </c>
      <c r="J113" s="114">
        <f>-44.5-48.8</f>
        <v>-93.3</v>
      </c>
      <c r="K113" s="114">
        <f>-46.7-48.9</f>
        <v>-95.6</v>
      </c>
      <c r="L113" s="114">
        <f>-56-60</f>
        <v>-116</v>
      </c>
      <c r="M113" s="114">
        <v>-100</v>
      </c>
      <c r="N113" s="114">
        <v>-100</v>
      </c>
      <c r="O113" s="114">
        <v>-103</v>
      </c>
      <c r="P113" s="114">
        <v>-105.2</v>
      </c>
      <c r="Q113" s="114">
        <v>-115</v>
      </c>
      <c r="R113" s="114">
        <v>-106.5</v>
      </c>
      <c r="S113" s="114">
        <v>-106.4</v>
      </c>
      <c r="T113" s="114">
        <v>-99.5</v>
      </c>
      <c r="U113" s="114">
        <v>-86.5</v>
      </c>
      <c r="V113" s="114">
        <v>-64.8</v>
      </c>
      <c r="W113" s="114">
        <v>-84.9</v>
      </c>
      <c r="X113" s="114">
        <v>-92.5</v>
      </c>
      <c r="Y113" s="114">
        <v>-73.5</v>
      </c>
      <c r="Z113" s="114">
        <v>-87</v>
      </c>
      <c r="AA113" s="114">
        <v>-68.5</v>
      </c>
      <c r="AB113" s="114">
        <v>-112</v>
      </c>
      <c r="AC113" s="114">
        <v>-119</v>
      </c>
      <c r="AD113" s="114">
        <v>-120</v>
      </c>
      <c r="AE113" s="114">
        <v>-135</v>
      </c>
      <c r="AF113" s="114">
        <v>-134</v>
      </c>
      <c r="AG113" s="113">
        <v>240</v>
      </c>
      <c r="AH113" s="47">
        <f t="shared" si="12"/>
        <v>-57.1</v>
      </c>
      <c r="AI113" s="48">
        <f t="shared" si="13"/>
        <v>-135</v>
      </c>
    </row>
    <row r="114" spans="1:37" x14ac:dyDescent="0.25">
      <c r="A114" s="102" t="s">
        <v>122</v>
      </c>
      <c r="B114" s="114">
        <v>-2.4</v>
      </c>
      <c r="C114" s="114">
        <v>-3</v>
      </c>
      <c r="D114" s="114">
        <v>-0.9</v>
      </c>
      <c r="E114" s="114">
        <v>0</v>
      </c>
      <c r="F114" s="114">
        <v>0.4</v>
      </c>
      <c r="G114" s="114">
        <v>0.3</v>
      </c>
      <c r="H114" s="114">
        <v>3.2</v>
      </c>
      <c r="I114" s="114">
        <v>5.0999999999999996</v>
      </c>
      <c r="J114" s="114">
        <v>4.4000000000000004</v>
      </c>
      <c r="K114" s="114">
        <v>5.5</v>
      </c>
      <c r="L114" s="114">
        <v>3.2</v>
      </c>
      <c r="M114" s="114">
        <v>8.8000000000000007</v>
      </c>
      <c r="N114" s="114">
        <v>8.8000000000000007</v>
      </c>
      <c r="O114" s="114">
        <v>10</v>
      </c>
      <c r="P114" s="114">
        <v>11.3</v>
      </c>
      <c r="Q114" s="114">
        <v>8.1</v>
      </c>
      <c r="R114" s="114">
        <v>10.6</v>
      </c>
      <c r="S114" s="114">
        <v>11</v>
      </c>
      <c r="T114" s="114">
        <v>10.4</v>
      </c>
      <c r="U114" s="114">
        <v>11.2</v>
      </c>
      <c r="V114" s="114">
        <v>12.1</v>
      </c>
      <c r="W114" s="114">
        <v>9.3000000000000007</v>
      </c>
      <c r="X114" s="114">
        <v>10.6</v>
      </c>
      <c r="Y114" s="114">
        <v>12.2</v>
      </c>
      <c r="Z114" s="114">
        <v>35.799999999999997</v>
      </c>
      <c r="AA114" s="114">
        <v>19.8</v>
      </c>
      <c r="AB114" s="114">
        <v>6.6</v>
      </c>
      <c r="AC114" s="114">
        <v>3.7</v>
      </c>
      <c r="AD114" s="114">
        <v>2.9</v>
      </c>
      <c r="AE114" s="114">
        <v>0</v>
      </c>
      <c r="AF114" s="114">
        <v>-3.9</v>
      </c>
      <c r="AG114" s="113">
        <v>60</v>
      </c>
      <c r="AH114" s="47">
        <f t="shared" si="12"/>
        <v>35.799999999999997</v>
      </c>
      <c r="AI114" s="48">
        <f t="shared" si="13"/>
        <v>-3.9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26.8</v>
      </c>
      <c r="L115" s="116">
        <v>45.9</v>
      </c>
      <c r="M115" s="116">
        <v>25.3</v>
      </c>
      <c r="N115" s="116">
        <v>25.3</v>
      </c>
      <c r="O115" s="116">
        <v>36</v>
      </c>
      <c r="P115" s="116">
        <v>30.7</v>
      </c>
      <c r="Q115" s="116">
        <v>43.2</v>
      </c>
      <c r="R115" s="116">
        <v>43.1</v>
      </c>
      <c r="S115" s="116">
        <v>43.3</v>
      </c>
      <c r="T115" s="116">
        <v>43.3</v>
      </c>
      <c r="U115" s="116">
        <v>39</v>
      </c>
      <c r="V115" s="116">
        <v>38.9</v>
      </c>
      <c r="W115" s="116">
        <v>38.9</v>
      </c>
      <c r="X115" s="116">
        <v>38.9</v>
      </c>
      <c r="Y115" s="116">
        <v>38.799999999999997</v>
      </c>
      <c r="Z115" s="116">
        <v>38.799999999999997</v>
      </c>
      <c r="AA115" s="116">
        <v>38.799999999999997</v>
      </c>
      <c r="AB115" s="116">
        <v>39.1</v>
      </c>
      <c r="AC115" s="116">
        <v>37.5</v>
      </c>
      <c r="AD115" s="116">
        <v>37.700000000000003</v>
      </c>
      <c r="AE115" s="116">
        <v>26.3</v>
      </c>
      <c r="AF115" s="116">
        <v>26.3</v>
      </c>
      <c r="AG115" s="117">
        <v>120</v>
      </c>
      <c r="AH115" s="47">
        <f t="shared" si="12"/>
        <v>45.9</v>
      </c>
      <c r="AI115" s="48">
        <f t="shared" si="13"/>
        <v>0</v>
      </c>
    </row>
    <row r="116" spans="1:37" x14ac:dyDescent="0.25">
      <c r="A116" s="115" t="s">
        <v>124</v>
      </c>
      <c r="B116" s="116">
        <v>46</v>
      </c>
      <c r="C116" s="116">
        <v>47</v>
      </c>
      <c r="D116" s="116">
        <v>45</v>
      </c>
      <c r="E116" s="116">
        <v>42.2</v>
      </c>
      <c r="F116" s="116">
        <v>18.100000000000001</v>
      </c>
      <c r="G116" s="116">
        <v>20.5</v>
      </c>
      <c r="H116" s="116">
        <v>26.9</v>
      </c>
      <c r="I116" s="116">
        <v>22</v>
      </c>
      <c r="J116" s="116">
        <v>30.7</v>
      </c>
      <c r="K116" s="116">
        <v>27.8</v>
      </c>
      <c r="L116" s="116">
        <v>17.100000000000001</v>
      </c>
      <c r="M116" s="116">
        <v>31.7</v>
      </c>
      <c r="N116" s="116">
        <v>31.7</v>
      </c>
      <c r="O116" s="116">
        <v>32</v>
      </c>
      <c r="P116" s="116">
        <v>22.8</v>
      </c>
      <c r="Q116" s="116">
        <v>24</v>
      </c>
      <c r="R116" s="116">
        <v>34</v>
      </c>
      <c r="S116" s="116">
        <v>27.7</v>
      </c>
      <c r="T116" s="116">
        <v>27.4</v>
      </c>
      <c r="U116" s="116">
        <v>40.200000000000003</v>
      </c>
      <c r="V116" s="116">
        <v>46.7</v>
      </c>
      <c r="W116" s="116">
        <v>15.2</v>
      </c>
      <c r="X116" s="116">
        <v>12</v>
      </c>
      <c r="Y116" s="116">
        <v>34.200000000000003</v>
      </c>
      <c r="Z116" s="116">
        <v>29.7</v>
      </c>
      <c r="AA116" s="116">
        <v>50</v>
      </c>
      <c r="AB116" s="116">
        <v>25.8</v>
      </c>
      <c r="AC116" s="116">
        <v>25.9</v>
      </c>
      <c r="AD116" s="116">
        <v>29</v>
      </c>
      <c r="AE116" s="116">
        <v>39.9</v>
      </c>
      <c r="AF116" s="116">
        <v>50.2</v>
      </c>
      <c r="AG116" s="117"/>
      <c r="AH116" s="47">
        <f t="shared" si="12"/>
        <v>50.2</v>
      </c>
      <c r="AI116" s="48">
        <f t="shared" si="13"/>
        <v>12</v>
      </c>
    </row>
    <row r="117" spans="1:37" x14ac:dyDescent="0.25">
      <c r="A117" s="115" t="s">
        <v>125</v>
      </c>
      <c r="B117" s="116">
        <v>-15</v>
      </c>
      <c r="C117" s="116">
        <v>-12</v>
      </c>
      <c r="D117" s="116">
        <v>-11</v>
      </c>
      <c r="E117" s="116">
        <v>-17.8</v>
      </c>
      <c r="F117" s="116">
        <v>-35.9</v>
      </c>
      <c r="G117" s="116">
        <v>-42.7</v>
      </c>
      <c r="H117" s="116">
        <v>-40.6</v>
      </c>
      <c r="I117" s="116">
        <v>-52.6</v>
      </c>
      <c r="J117" s="116">
        <v>-50.4</v>
      </c>
      <c r="K117" s="116">
        <v>-43.7</v>
      </c>
      <c r="L117" s="116">
        <v>-49.2</v>
      </c>
      <c r="M117" s="116">
        <v>-56.9</v>
      </c>
      <c r="N117" s="116">
        <v>-56.9</v>
      </c>
      <c r="O117" s="116">
        <v>-49</v>
      </c>
      <c r="P117" s="116">
        <v>-40.9</v>
      </c>
      <c r="Q117" s="116">
        <v>-21.3</v>
      </c>
      <c r="R117" s="116">
        <v>15.5</v>
      </c>
      <c r="S117" s="116">
        <v>-36.6</v>
      </c>
      <c r="T117" s="116">
        <v>-33.799999999999997</v>
      </c>
      <c r="U117" s="116">
        <v>-40.9</v>
      </c>
      <c r="V117" s="116">
        <v>-37.9</v>
      </c>
      <c r="W117" s="116">
        <v>-39.1</v>
      </c>
      <c r="X117" s="116">
        <v>-41</v>
      </c>
      <c r="Y117" s="116">
        <v>25.1</v>
      </c>
      <c r="Z117" s="116">
        <v>-15.8</v>
      </c>
      <c r="AA117" s="116">
        <v>-15.5</v>
      </c>
      <c r="AB117" s="116">
        <v>-17.7</v>
      </c>
      <c r="AC117" s="116">
        <v>-3.8</v>
      </c>
      <c r="AD117" s="116">
        <v>1.4</v>
      </c>
      <c r="AE117" s="116">
        <v>7.3</v>
      </c>
      <c r="AF117" s="116">
        <v>0.9</v>
      </c>
      <c r="AG117" s="118"/>
      <c r="AH117" s="47">
        <f t="shared" si="12"/>
        <v>25.1</v>
      </c>
      <c r="AI117" s="48">
        <f t="shared" si="13"/>
        <v>-56.9</v>
      </c>
    </row>
    <row r="118" spans="1:37" x14ac:dyDescent="0.25">
      <c r="A118" s="119" t="s">
        <v>126</v>
      </c>
      <c r="B118" s="105">
        <v>40</v>
      </c>
      <c r="C118" s="105">
        <v>33</v>
      </c>
      <c r="D118" s="105">
        <v>43</v>
      </c>
      <c r="E118" s="105">
        <v>42.6</v>
      </c>
      <c r="F118" s="105">
        <v>49.1</v>
      </c>
      <c r="G118" s="105">
        <v>50</v>
      </c>
      <c r="H118" s="105">
        <v>39.200000000000003</v>
      </c>
      <c r="I118" s="105">
        <v>54.1</v>
      </c>
      <c r="J118" s="105">
        <v>48.8</v>
      </c>
      <c r="K118" s="105">
        <v>46.1</v>
      </c>
      <c r="L118" s="105">
        <v>41.1</v>
      </c>
      <c r="M118" s="105">
        <v>39</v>
      </c>
      <c r="N118" s="105">
        <v>39</v>
      </c>
      <c r="O118" s="105">
        <v>36</v>
      </c>
      <c r="P118" s="105">
        <v>12.6</v>
      </c>
      <c r="Q118" s="105">
        <v>42.1</v>
      </c>
      <c r="R118" s="105">
        <v>45.5</v>
      </c>
      <c r="S118" s="105">
        <v>39.700000000000003</v>
      </c>
      <c r="T118" s="105">
        <v>30.6</v>
      </c>
      <c r="U118" s="105">
        <v>36.4</v>
      </c>
      <c r="V118" s="105">
        <v>30.9</v>
      </c>
      <c r="W118" s="105">
        <v>35.1</v>
      </c>
      <c r="X118" s="105">
        <v>32.5</v>
      </c>
      <c r="Y118" s="105">
        <v>23.2</v>
      </c>
      <c r="Z118" s="105">
        <v>21.7</v>
      </c>
      <c r="AA118" s="105">
        <v>17.399999999999999</v>
      </c>
      <c r="AB118" s="105">
        <v>22.2</v>
      </c>
      <c r="AC118" s="105">
        <v>28.9</v>
      </c>
      <c r="AD118" s="105">
        <v>24.1</v>
      </c>
      <c r="AE118" s="105">
        <v>32.299999999999997</v>
      </c>
      <c r="AF118" s="105">
        <v>36.200000000000003</v>
      </c>
      <c r="AG118" s="118"/>
      <c r="AH118" s="47">
        <f t="shared" si="12"/>
        <v>54.1</v>
      </c>
      <c r="AI118" s="48">
        <f t="shared" si="13"/>
        <v>12.6</v>
      </c>
    </row>
    <row r="119" spans="1:37" x14ac:dyDescent="0.25">
      <c r="A119" s="120" t="s">
        <v>127</v>
      </c>
      <c r="B119" s="105">
        <v>93</v>
      </c>
      <c r="C119" s="105">
        <v>88</v>
      </c>
      <c r="D119" s="105">
        <v>90</v>
      </c>
      <c r="E119" s="105">
        <v>90.1</v>
      </c>
      <c r="F119" s="105">
        <v>96.3</v>
      </c>
      <c r="G119" s="105">
        <v>94.7</v>
      </c>
      <c r="H119" s="105">
        <v>92</v>
      </c>
      <c r="I119" s="105">
        <v>94.8</v>
      </c>
      <c r="J119" s="105">
        <v>85.1</v>
      </c>
      <c r="K119" s="105">
        <v>85.9</v>
      </c>
      <c r="L119" s="105">
        <v>96.2</v>
      </c>
      <c r="M119" s="105">
        <v>94.7</v>
      </c>
      <c r="N119" s="105">
        <v>94.7</v>
      </c>
      <c r="O119" s="105">
        <v>92</v>
      </c>
      <c r="P119" s="105">
        <v>90.8</v>
      </c>
      <c r="Q119" s="105">
        <v>97.1</v>
      </c>
      <c r="R119" s="105">
        <v>79</v>
      </c>
      <c r="S119" s="105">
        <v>87.3</v>
      </c>
      <c r="T119" s="105">
        <v>84.5</v>
      </c>
      <c r="U119" s="105">
        <v>73.900000000000006</v>
      </c>
      <c r="V119" s="105">
        <v>58</v>
      </c>
      <c r="W119" s="105">
        <v>73.5</v>
      </c>
      <c r="X119" s="105">
        <v>82</v>
      </c>
      <c r="Y119" s="105">
        <v>66.2</v>
      </c>
      <c r="Z119" s="105">
        <v>86</v>
      </c>
      <c r="AA119" s="105">
        <v>71.3</v>
      </c>
      <c r="AB119" s="105">
        <v>88.9</v>
      </c>
      <c r="AC119" s="105">
        <v>86.6</v>
      </c>
      <c r="AD119" s="105">
        <v>84.2</v>
      </c>
      <c r="AE119" s="105">
        <v>90.9</v>
      </c>
      <c r="AF119" s="105">
        <v>90.3</v>
      </c>
      <c r="AG119" s="118"/>
      <c r="AH119" s="47">
        <f t="shared" si="12"/>
        <v>97.1</v>
      </c>
      <c r="AI119" s="48">
        <f t="shared" si="13"/>
        <v>58</v>
      </c>
    </row>
    <row r="120" spans="1:37" ht="15.75" thickBot="1" x14ac:dyDescent="0.3">
      <c r="A120" s="119" t="s">
        <v>128</v>
      </c>
      <c r="B120" s="105">
        <v>38</v>
      </c>
      <c r="C120" s="105">
        <v>37</v>
      </c>
      <c r="D120" s="105">
        <v>39</v>
      </c>
      <c r="E120" s="105">
        <v>30.7</v>
      </c>
      <c r="F120" s="105">
        <v>26</v>
      </c>
      <c r="G120" s="105">
        <v>10.7</v>
      </c>
      <c r="H120" s="105">
        <v>17.399999999999999</v>
      </c>
      <c r="I120" s="105">
        <v>-2.2000000000000002</v>
      </c>
      <c r="J120" s="105">
        <v>11.6</v>
      </c>
      <c r="K120" s="105">
        <v>12.5</v>
      </c>
      <c r="L120" s="105"/>
      <c r="M120" s="105">
        <v>32</v>
      </c>
      <c r="N120" s="105">
        <v>32</v>
      </c>
      <c r="O120" s="105">
        <v>18</v>
      </c>
      <c r="P120" s="105">
        <v>17.8</v>
      </c>
      <c r="Q120" s="105">
        <v>22.2</v>
      </c>
      <c r="R120" s="105">
        <v>17.5</v>
      </c>
      <c r="S120" s="105">
        <v>23.7</v>
      </c>
      <c r="T120" s="105">
        <v>32.200000000000003</v>
      </c>
      <c r="U120" s="105">
        <v>25.4</v>
      </c>
      <c r="V120" s="105">
        <v>20.9</v>
      </c>
      <c r="W120" s="105">
        <v>31.7</v>
      </c>
      <c r="X120" s="105">
        <v>23.2</v>
      </c>
      <c r="Y120" s="105">
        <v>35.9</v>
      </c>
      <c r="Z120" s="105">
        <v>37.6</v>
      </c>
      <c r="AA120" s="105">
        <v>42</v>
      </c>
      <c r="AB120" s="105">
        <v>41</v>
      </c>
      <c r="AC120" s="105">
        <v>40.9</v>
      </c>
      <c r="AD120" s="105">
        <v>39.299999999999997</v>
      </c>
      <c r="AE120" s="105">
        <v>31.8</v>
      </c>
      <c r="AF120" s="105">
        <v>34.700000000000003</v>
      </c>
      <c r="AG120" s="118"/>
      <c r="AH120" s="47">
        <f t="shared" si="12"/>
        <v>42</v>
      </c>
      <c r="AI120" s="48">
        <f t="shared" si="13"/>
        <v>-2.2000000000000002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>SUM(S122:S226)</f>
        <v>0</v>
      </c>
      <c r="T227" s="136">
        <f t="shared" si="28"/>
        <v>0</v>
      </c>
      <c r="U227" s="136">
        <f>SUM(U122:U226)</f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2065.94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2066.9700000000003</v>
      </c>
      <c r="U249" s="170">
        <f t="shared" si="32"/>
        <v>2015.0700000000002</v>
      </c>
      <c r="V249" s="170">
        <f t="shared" si="32"/>
        <v>2009.4700000000003</v>
      </c>
      <c r="W249" s="170">
        <f t="shared" si="32"/>
        <v>1999.17</v>
      </c>
      <c r="X249" s="170">
        <f t="shared" si="32"/>
        <v>1959.3700000000001</v>
      </c>
      <c r="Y249" s="170">
        <f t="shared" si="32"/>
        <v>1970.4700000000003</v>
      </c>
      <c r="Z249" s="170">
        <f t="shared" si="32"/>
        <v>1980.9700000000003</v>
      </c>
      <c r="AA249" s="170">
        <f t="shared" si="32"/>
        <v>2000.8700000000003</v>
      </c>
      <c r="AB249" s="170">
        <f t="shared" si="32"/>
        <v>2045.7400000000002</v>
      </c>
      <c r="AC249" s="170">
        <f t="shared" si="32"/>
        <v>2028.4400000000003</v>
      </c>
      <c r="AD249" s="170">
        <f t="shared" si="32"/>
        <v>2030.8400000000001</v>
      </c>
      <c r="AE249" s="170">
        <f t="shared" si="32"/>
        <v>2050.54</v>
      </c>
      <c r="AF249" s="170">
        <f t="shared" si="32"/>
        <v>2065.94</v>
      </c>
      <c r="AG249" s="170">
        <f t="shared" si="32"/>
        <v>2089.8399999999997</v>
      </c>
      <c r="AH249" s="170">
        <f t="shared" si="32"/>
        <v>2111.14</v>
      </c>
      <c r="AI249" s="170">
        <f t="shared" si="32"/>
        <v>2190.64</v>
      </c>
      <c r="AJ249" s="170">
        <f t="shared" si="32"/>
        <v>2186.14</v>
      </c>
      <c r="AK249" s="170">
        <f t="shared" si="32"/>
        <v>2142.7400000000002</v>
      </c>
      <c r="AL249" s="170">
        <f t="shared" si="32"/>
        <v>2142.64</v>
      </c>
      <c r="AM249" s="170">
        <f t="shared" si="32"/>
        <v>2116.84</v>
      </c>
      <c r="AN249" s="170">
        <f t="shared" si="32"/>
        <v>2078.94</v>
      </c>
      <c r="AO249" s="170">
        <f t="shared" si="32"/>
        <v>2076.84</v>
      </c>
      <c r="AP249" s="170">
        <f t="shared" si="32"/>
        <v>2086.54</v>
      </c>
      <c r="AQ249" s="170">
        <f t="shared" si="32"/>
        <v>2155.14</v>
      </c>
      <c r="AR249" s="170">
        <f t="shared" si="32"/>
        <v>2190.54</v>
      </c>
      <c r="AS249" s="170">
        <f t="shared" si="32"/>
        <v>2257.8399999999997</v>
      </c>
      <c r="AT249" s="170">
        <f t="shared" si="32"/>
        <v>2203.64</v>
      </c>
      <c r="AU249" s="170">
        <f t="shared" si="32"/>
        <v>2176.8399999999997</v>
      </c>
      <c r="AV249" s="170">
        <f t="shared" si="32"/>
        <v>2146.14</v>
      </c>
      <c r="AW249" s="170">
        <f t="shared" si="32"/>
        <v>2098.54</v>
      </c>
      <c r="AX249" s="170">
        <f t="shared" si="32"/>
        <v>2092.0400000000004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912" priority="64">
      <formula>$AH11=0</formula>
    </cfRule>
  </conditionalFormatting>
  <conditionalFormatting sqref="B8 M8 S8 AB8">
    <cfRule type="expression" dxfId="1911" priority="117">
      <formula>C$9&lt;8/24</formula>
    </cfRule>
    <cfRule type="expression" dxfId="1910" priority="116">
      <formula>AND(C$9&gt;=8/24,C$9&lt;14/24)</formula>
    </cfRule>
    <cfRule type="expression" dxfId="1909" priority="115">
      <formula>AND(C$9&gt;=14/24,C$9&lt;20/24)</formula>
    </cfRule>
  </conditionalFormatting>
  <conditionalFormatting sqref="B54:C54">
    <cfRule type="expression" dxfId="1908" priority="38">
      <formula>B$9&gt;=20/24</formula>
    </cfRule>
    <cfRule type="expression" dxfId="1907" priority="39">
      <formula>AND(B$9&gt;=14/24,B$9&lt;20/24)</formula>
    </cfRule>
    <cfRule type="expression" dxfId="1906" priority="40">
      <formula>AND(B$9&gt;=8/24,B$9&lt;14/24)</formula>
    </cfRule>
    <cfRule type="expression" dxfId="1905" priority="41">
      <formula>B$9&lt;8/24</formula>
    </cfRule>
  </conditionalFormatting>
  <conditionalFormatting sqref="B54:C66">
    <cfRule type="expression" dxfId="1904" priority="33">
      <formula>B54&gt;$AG54</formula>
    </cfRule>
  </conditionalFormatting>
  <conditionalFormatting sqref="B55:F59">
    <cfRule type="expression" dxfId="1903" priority="63">
      <formula>B$9&lt;8/24</formula>
    </cfRule>
    <cfRule type="expression" dxfId="1902" priority="62">
      <formula>AND(B$9&gt;=8/24,B$9&lt;14/24)</formula>
    </cfRule>
    <cfRule type="expression" dxfId="1901" priority="61">
      <formula>AND(B$9&gt;=14/24,B$9&lt;20/24)</formula>
    </cfRule>
    <cfRule type="expression" dxfId="1900" priority="60">
      <formula>B$9&gt;=20/24</formula>
    </cfRule>
  </conditionalFormatting>
  <conditionalFormatting sqref="B60:Z60">
    <cfRule type="expression" dxfId="1899" priority="52">
      <formula>AND(B$9&gt;=14/24,B$9&lt;20/24)</formula>
    </cfRule>
    <cfRule type="expression" dxfId="1898" priority="51">
      <formula>B$9&gt;=20/24</formula>
    </cfRule>
    <cfRule type="expression" dxfId="1897" priority="54">
      <formula>B$9&lt;8/24</formula>
    </cfRule>
    <cfRule type="expression" dxfId="1896" priority="53">
      <formula>AND(B$9&gt;=8/24,B$9&lt;14/24)</formula>
    </cfRule>
  </conditionalFormatting>
  <conditionalFormatting sqref="B9:AF45">
    <cfRule type="expression" dxfId="1895" priority="23">
      <formula>B$9&gt;=20/24</formula>
    </cfRule>
    <cfRule type="expression" dxfId="1894" priority="24">
      <formula>AND(B$9&gt;=14/24,B$9&lt;20/24)</formula>
    </cfRule>
    <cfRule type="expression" dxfId="1893" priority="25">
      <formula>AND(B$9&gt;=8/24,B$9&lt;14/24)</formula>
    </cfRule>
    <cfRule type="expression" dxfId="1892" priority="26">
      <formula>B$9&lt;8/24</formula>
    </cfRule>
  </conditionalFormatting>
  <conditionalFormatting sqref="B11:AF46">
    <cfRule type="expression" dxfId="1891" priority="22">
      <formula>B11&gt;$AG11</formula>
    </cfRule>
  </conditionalFormatting>
  <conditionalFormatting sqref="B46:AF46">
    <cfRule type="expression" dxfId="1890" priority="21">
      <formula>B$9&lt;8/24</formula>
    </cfRule>
    <cfRule type="expression" dxfId="1889" priority="18">
      <formula>B$9&gt;=20/24</formula>
    </cfRule>
    <cfRule type="expression" dxfId="1888" priority="19">
      <formula>AND(B$9&gt;=14/24,B$9&lt;20/24)</formula>
    </cfRule>
    <cfRule type="expression" dxfId="1887" priority="20">
      <formula>AND(B$9&gt;=8/24,B$9&lt;14/24)</formula>
    </cfRule>
  </conditionalFormatting>
  <conditionalFormatting sqref="B47:AF47">
    <cfRule type="expression" dxfId="1886" priority="32">
      <formula>B47&gt;$AG47</formula>
    </cfRule>
  </conditionalFormatting>
  <conditionalFormatting sqref="B47:AF49">
    <cfRule type="expression" dxfId="1885" priority="31">
      <formula>B$9&lt;8/24</formula>
    </cfRule>
    <cfRule type="expression" dxfId="1884" priority="30">
      <formula>AND(B$9&gt;=8/24,B$9&lt;14/24)</formula>
    </cfRule>
    <cfRule type="expression" dxfId="1883" priority="29">
      <formula>AND(B$9&gt;=14/24,B$9&lt;20/24)</formula>
    </cfRule>
    <cfRule type="expression" dxfId="1882" priority="28">
      <formula>B$9&gt;=20/24</formula>
    </cfRule>
  </conditionalFormatting>
  <conditionalFormatting sqref="B48:AF53">
    <cfRule type="expression" dxfId="1881" priority="27">
      <formula>B48&gt;$AG48</formula>
    </cfRule>
  </conditionalFormatting>
  <conditionalFormatting sqref="B51:AF53">
    <cfRule type="expression" dxfId="1880" priority="48">
      <formula>AND(B$9&gt;=14/24,B$9&lt;20/24)</formula>
    </cfRule>
    <cfRule type="expression" dxfId="1879" priority="49">
      <formula>AND(B$9&gt;=8/24,B$9&lt;14/24)</formula>
    </cfRule>
    <cfRule type="expression" dxfId="1878" priority="50">
      <formula>B$9&lt;8/24</formula>
    </cfRule>
    <cfRule type="expression" dxfId="1877" priority="47">
      <formula>B$9&gt;=20/24</formula>
    </cfRule>
  </conditionalFormatting>
  <conditionalFormatting sqref="B61:AF66">
    <cfRule type="expression" dxfId="1876" priority="35">
      <formula>AND(B$9&gt;=14/24,B$9&lt;20/24)</formula>
    </cfRule>
    <cfRule type="expression" dxfId="1875" priority="36">
      <formula>AND(B$9&gt;=8/24,B$9&lt;14/24)</formula>
    </cfRule>
    <cfRule type="expression" dxfId="1874" priority="37">
      <formula>B$9&lt;8/24</formula>
    </cfRule>
    <cfRule type="expression" dxfId="1873" priority="34">
      <formula>B$9&gt;=20/24</formula>
    </cfRule>
  </conditionalFormatting>
  <conditionalFormatting sqref="B69:AF71">
    <cfRule type="expression" dxfId="1872" priority="58">
      <formula>AND(B$9&gt;=8/24,B$9&lt;14/24)</formula>
    </cfRule>
    <cfRule type="expression" dxfId="1871" priority="59">
      <formula>B$9&lt;8/24</formula>
    </cfRule>
    <cfRule type="expression" dxfId="1870" priority="55">
      <formula>B69&gt;$AG69</formula>
    </cfRule>
    <cfRule type="expression" dxfId="1869" priority="56">
      <formula>B$9&gt;=20/24</formula>
    </cfRule>
    <cfRule type="expression" dxfId="1868" priority="57">
      <formula>AND(B$9&gt;=14/24,B$9&lt;20/24)</formula>
    </cfRule>
  </conditionalFormatting>
  <conditionalFormatting sqref="B73:AF91">
    <cfRule type="expression" dxfId="1867" priority="2">
      <formula>AND(B$9&gt;=14/24,B$9&lt;20/24)</formula>
    </cfRule>
    <cfRule type="expression" dxfId="1866" priority="4">
      <formula>B$9&lt;8/24</formula>
    </cfRule>
    <cfRule type="expression" dxfId="1865" priority="3">
      <formula>AND(B$9&gt;=8/24,B$9&lt;14/24)</formula>
    </cfRule>
    <cfRule type="expression" dxfId="1864" priority="1">
      <formula>B$9&gt;=20/24</formula>
    </cfRule>
  </conditionalFormatting>
  <conditionalFormatting sqref="B111:AF120">
    <cfRule type="expression" dxfId="1863" priority="17">
      <formula>B$9&lt;8/24</formula>
    </cfRule>
    <cfRule type="expression" dxfId="1862" priority="16">
      <formula>AND(B$9&gt;=8/24,B$9&lt;14/24)</formula>
    </cfRule>
    <cfRule type="expression" dxfId="1861" priority="15">
      <formula>AND(B$9&gt;=14/24,B$9&lt;20/24)</formula>
    </cfRule>
    <cfRule type="expression" dxfId="1860" priority="14">
      <formula>B$9&gt;=20/24</formula>
    </cfRule>
  </conditionalFormatting>
  <conditionalFormatting sqref="B227:AF227 D229:AF230 B229:B235 D231:H231 J231:AF231 D232:AF235 U248:AF248">
    <cfRule type="expression" dxfId="1859" priority="108">
      <formula>B$9&gt;=20/24</formula>
    </cfRule>
    <cfRule type="expression" dxfId="1858" priority="110">
      <formula>AND(B$9&gt;=8/24,B$9&lt;14/24)</formula>
    </cfRule>
    <cfRule type="expression" dxfId="1857" priority="111">
      <formula>B$9&lt;8/24</formula>
    </cfRule>
    <cfRule type="expression" dxfId="1856" priority="109">
      <formula>AND(B$9&gt;=14/24,B$9&lt;20/24)</formula>
    </cfRule>
  </conditionalFormatting>
  <conditionalFormatting sqref="B67:AG68 B72:AG72">
    <cfRule type="expression" dxfId="1855" priority="42">
      <formula>B67&gt;$AG67</formula>
    </cfRule>
  </conditionalFormatting>
  <conditionalFormatting sqref="B72:AG72 B93:AF109">
    <cfRule type="expression" dxfId="1854" priority="46">
      <formula>B$9&lt;8/24</formula>
    </cfRule>
    <cfRule type="expression" dxfId="1853" priority="45">
      <formula>AND(B$9&gt;=8/24,B$9&lt;14/24)</formula>
    </cfRule>
    <cfRule type="expression" dxfId="1852" priority="44">
      <formula>AND(B$9&gt;=14/24,B$9&lt;20/24)</formula>
    </cfRule>
    <cfRule type="expression" dxfId="1851" priority="43">
      <formula>B$9&gt;=20/24</formula>
    </cfRule>
  </conditionalFormatting>
  <conditionalFormatting sqref="D55:AF66">
    <cfRule type="expression" dxfId="1850" priority="5">
      <formula>D55&gt;$AG55</formula>
    </cfRule>
  </conditionalFormatting>
  <conditionalFormatting sqref="D54:AG54">
    <cfRule type="expression" dxfId="1849" priority="78">
      <formula>AND(D$9&gt;=14/24,D$9&lt;20/24)</formula>
    </cfRule>
    <cfRule type="expression" dxfId="1848" priority="77">
      <formula>D$9&gt;=20/24</formula>
    </cfRule>
    <cfRule type="expression" dxfId="1847" priority="76">
      <formula>D54&gt;$AG54</formula>
    </cfRule>
    <cfRule type="expression" dxfId="1846" priority="79">
      <formula>AND(D$9&gt;=8/24,D$9&lt;14/24)</formula>
    </cfRule>
    <cfRule type="expression" dxfId="1845" priority="80">
      <formula>D$9&lt;8/24</formula>
    </cfRule>
  </conditionalFormatting>
  <conditionalFormatting sqref="E55:L57 M56:N57">
    <cfRule type="expression" dxfId="1844" priority="89">
      <formula>E$9&gt;=20/24</formula>
    </cfRule>
    <cfRule type="expression" dxfId="1843" priority="90">
      <formula>AND(E$9&gt;=14/24,E$9&lt;20/24)</formula>
    </cfRule>
    <cfRule type="expression" dxfId="1842" priority="91">
      <formula>AND(E$9&gt;=8/24,E$9&lt;14/24)</formula>
    </cfRule>
    <cfRule type="expression" dxfId="1841" priority="92">
      <formula>E$9&lt;8/24</formula>
    </cfRule>
  </conditionalFormatting>
  <conditionalFormatting sqref="M55:Z59">
    <cfRule type="expression" dxfId="1840" priority="93">
      <formula>M$9&gt;=20/24</formula>
    </cfRule>
    <cfRule type="expression" dxfId="1839" priority="95">
      <formula>AND(M$9&gt;=8/24,M$9&lt;14/24)</formula>
    </cfRule>
    <cfRule type="expression" dxfId="1838" priority="96">
      <formula>M$9&lt;8/24</formula>
    </cfRule>
    <cfRule type="expression" dxfId="1837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836" priority="114">
      <formula>C$9&gt;=20/24</formula>
    </cfRule>
  </conditionalFormatting>
  <conditionalFormatting sqref="S8">
    <cfRule type="expression" dxfId="1835" priority="102">
      <formula>AND(U$9&gt;=14/24,U$9&lt;20/24)</formula>
    </cfRule>
    <cfRule type="expression" dxfId="1834" priority="101">
      <formula>U$9&gt;=20/24</formula>
    </cfRule>
    <cfRule type="expression" dxfId="1833" priority="103">
      <formula>AND(U$9&gt;=8/24,U$9&lt;14/24)</formula>
    </cfRule>
    <cfRule type="expression" dxfId="1832" priority="104">
      <formula>U$9&lt;8/24</formula>
    </cfRule>
  </conditionalFormatting>
  <conditionalFormatting sqref="T248">
    <cfRule type="expression" dxfId="1831" priority="129">
      <formula>AX$9&lt;8/24</formula>
    </cfRule>
    <cfRule type="expression" dxfId="1830" priority="126">
      <formula>AX$9&gt;=20/24</formula>
    </cfRule>
    <cfRule type="expression" dxfId="1829" priority="127">
      <formula>AND(AX$9&gt;=14/24,AX$9&lt;20/24)</formula>
    </cfRule>
    <cfRule type="expression" dxfId="1828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1827" priority="12">
      <formula>AND(AA$9&gt;=8/24,AA$9&lt;14/24)</formula>
    </cfRule>
    <cfRule type="expression" dxfId="1826" priority="13">
      <formula>AA$9&lt;8/24</formula>
    </cfRule>
    <cfRule type="expression" dxfId="1825" priority="11">
      <formula>AND(AA$9&gt;=14/24,AA$9&lt;20/24)</formula>
    </cfRule>
    <cfRule type="expression" dxfId="1824" priority="10">
      <formula>AA$9&gt;=20/24</formula>
    </cfRule>
  </conditionalFormatting>
  <conditionalFormatting sqref="AB8">
    <cfRule type="expression" dxfId="1823" priority="97">
      <formula>AD$9&gt;=20/24</formula>
    </cfRule>
    <cfRule type="expression" dxfId="1822" priority="99">
      <formula>AND(AD$9&gt;=8/24,AD$9&lt;14/24)</formula>
    </cfRule>
    <cfRule type="expression" dxfId="1821" priority="98">
      <formula>AND(AD$9&gt;=14/24,AD$9&lt;20/24)</formula>
    </cfRule>
    <cfRule type="expression" dxfId="1820" priority="100">
      <formula>AD$9&lt;8/24</formula>
    </cfRule>
  </conditionalFormatting>
  <conditionalFormatting sqref="AE61:AF66">
    <cfRule type="expression" dxfId="1819" priority="7">
      <formula>AND(AE$9&gt;=14/24,AE$9&lt;20/24)</formula>
    </cfRule>
    <cfRule type="expression" dxfId="1818" priority="6">
      <formula>AE$9&gt;=20/24</formula>
    </cfRule>
    <cfRule type="expression" dxfId="1817" priority="9">
      <formula>AE$9&lt;8/24</formula>
    </cfRule>
    <cfRule type="expression" dxfId="1816" priority="8">
      <formula>AND(AE$9&gt;=8/24,AE$9&lt;14/24)</formula>
    </cfRule>
  </conditionalFormatting>
  <conditionalFormatting sqref="AG50">
    <cfRule type="expression" dxfId="1815" priority="84">
      <formula>AG50&gt;$AG50</formula>
    </cfRule>
  </conditionalFormatting>
  <conditionalFormatting sqref="AG89">
    <cfRule type="expression" dxfId="1814" priority="85">
      <formula>AG$9&gt;=20/24</formula>
    </cfRule>
    <cfRule type="expression" dxfId="1813" priority="86">
      <formula>AND(AG$9&gt;=14/24,AG$9&lt;20/24)</formula>
    </cfRule>
    <cfRule type="expression" dxfId="1812" priority="87">
      <formula>AND(AG$9&gt;=8/24,AG$9&lt;14/24)</formula>
    </cfRule>
    <cfRule type="expression" dxfId="1811" priority="88">
      <formula>AG$9&lt;8/24</formula>
    </cfRule>
  </conditionalFormatting>
  <conditionalFormatting sqref="AG248">
    <cfRule type="expression" dxfId="1810" priority="118">
      <formula>B$9&gt;=20/24</formula>
    </cfRule>
    <cfRule type="expression" dxfId="1809" priority="121">
      <formula>B$9&lt;8/24</formula>
    </cfRule>
    <cfRule type="expression" dxfId="1808" priority="120">
      <formula>AND(B$9&gt;=8/24,B$9&lt;14/24)</formula>
    </cfRule>
    <cfRule type="expression" dxfId="1807" priority="119">
      <formula>AND(B$9&gt;=14/24,B$9&lt;20/24)</formula>
    </cfRule>
  </conditionalFormatting>
  <conditionalFormatting sqref="AH248:AX248">
    <cfRule type="expression" dxfId="1806" priority="125">
      <formula>AG$9&lt;8/24</formula>
    </cfRule>
    <cfRule type="expression" dxfId="1805" priority="124">
      <formula>AND(AG$9&gt;=8/24,AG$9&lt;14/24)</formula>
    </cfRule>
    <cfRule type="expression" dxfId="1804" priority="123">
      <formula>AND(AG$9&gt;=14/24,AG$9&lt;20/24)</formula>
    </cfRule>
    <cfRule type="expression" dxfId="1803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802" priority="131">
      <formula>AJ$9&gt;=20/24</formula>
    </cfRule>
    <cfRule type="expression" dxfId="1801" priority="132">
      <formula>AND(AJ$9&gt;=14/24,AJ$9&lt;20/24)</formula>
    </cfRule>
    <cfRule type="expression" dxfId="1800" priority="133">
      <formula>AND(AJ$9&gt;=8/24,AJ$9&lt;14/24)</formula>
    </cfRule>
    <cfRule type="expression" dxfId="1799" priority="134">
      <formula>AJ$9&lt;8/24</formula>
    </cfRule>
  </conditionalFormatting>
  <conditionalFormatting sqref="AL80:AN80 AL86:AN86">
    <cfRule type="expression" dxfId="1798" priority="75">
      <formula>AL$9&lt;8/24</formula>
    </cfRule>
    <cfRule type="expression" dxfId="1797" priority="74">
      <formula>AND(AL$9&gt;=8/24,AL$9&lt;14/24)</formula>
    </cfRule>
    <cfRule type="expression" dxfId="1796" priority="73">
      <formula>AND(AL$9&gt;=14/24,AL$9&lt;20/24)</formula>
    </cfRule>
    <cfRule type="expression" dxfId="1795" priority="72">
      <formula>AL$9&gt;=20/24</formula>
    </cfRule>
  </conditionalFormatting>
  <conditionalFormatting sqref="AN81:AN84">
    <cfRule type="expression" dxfId="1794" priority="71">
      <formula>AN$9&lt;8/24</formula>
    </cfRule>
    <cfRule type="expression" dxfId="1793" priority="69">
      <formula>AND(AN$9&gt;=14/24,AN$9&lt;20/24)</formula>
    </cfRule>
    <cfRule type="expression" dxfId="1792" priority="70">
      <formula>AND(AN$9&gt;=8/24,AN$9&lt;14/24)</formula>
    </cfRule>
    <cfRule type="expression" dxfId="1791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4C036-8DA3-414D-8E81-E4F6DA8A10E2}">
  <sheetPr codeName="Sheet7"/>
  <dimension ref="A1:CJ281"/>
  <sheetViews>
    <sheetView workbookViewId="0">
      <pane xSplit="1" ySplit="10" topLeftCell="O6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D75" sqref="AD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2080/05/19</v>
      </c>
      <c r="C4" s="196"/>
      <c r="D4" s="196"/>
      <c r="E4" s="197" t="str">
        <f ca="1">"2080/"&amp;"05/"&amp;INT(MID(CELL("filename",G6),FIND("]",CELL("filename",G6))+1,200))</f>
        <v>2080/05/19</v>
      </c>
      <c r="F4" s="197"/>
      <c r="G4" s="197"/>
      <c r="H4" s="197" t="str">
        <f ca="1">TEXT(E4,"dddd")</f>
        <v>Sunday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9.6999999999999993</v>
      </c>
      <c r="C5" s="30">
        <f t="shared" si="0"/>
        <v>7.7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5</v>
      </c>
      <c r="T5" s="30">
        <f t="shared" si="0"/>
        <v>5</v>
      </c>
      <c r="U5" s="30">
        <f t="shared" si="0"/>
        <v>5</v>
      </c>
      <c r="V5" s="30">
        <f t="shared" si="0"/>
        <v>5</v>
      </c>
      <c r="W5" s="30">
        <f t="shared" si="0"/>
        <v>5</v>
      </c>
      <c r="X5" s="30">
        <f t="shared" si="0"/>
        <v>5</v>
      </c>
      <c r="Y5" s="30">
        <f t="shared" si="0"/>
        <v>5</v>
      </c>
      <c r="Z5" s="30">
        <f t="shared" si="0"/>
        <v>5</v>
      </c>
      <c r="AA5" s="30">
        <f t="shared" si="0"/>
        <v>6</v>
      </c>
      <c r="AB5" s="30">
        <f t="shared" si="0"/>
        <v>6</v>
      </c>
      <c r="AC5" s="30">
        <f t="shared" si="0"/>
        <v>20.399999999999999</v>
      </c>
      <c r="AD5" s="30">
        <f t="shared" si="0"/>
        <v>23</v>
      </c>
      <c r="AE5" s="30">
        <f t="shared" si="0"/>
        <v>21</v>
      </c>
      <c r="AF5" s="30">
        <f>B84</f>
        <v>12.1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2143MW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Load=2020</v>
      </c>
      <c r="B7" s="35">
        <f t="shared" ref="B7:AF7" si="1">B91</f>
        <v>2052.84</v>
      </c>
      <c r="C7" s="35">
        <f t="shared" si="1"/>
        <v>2051.04</v>
      </c>
      <c r="D7" s="35">
        <f t="shared" si="1"/>
        <v>2020.24</v>
      </c>
      <c r="E7" s="35">
        <f t="shared" si="1"/>
        <v>2030.9399999999998</v>
      </c>
      <c r="F7" s="35">
        <f t="shared" si="1"/>
        <v>2037.9399999999998</v>
      </c>
      <c r="G7" s="35">
        <f t="shared" si="1"/>
        <v>2037.9399999999998</v>
      </c>
      <c r="H7" s="35">
        <f t="shared" si="1"/>
        <v>2068.94</v>
      </c>
      <c r="I7" s="35">
        <f t="shared" si="1"/>
        <v>2073.94</v>
      </c>
      <c r="J7" s="35">
        <f t="shared" si="1"/>
        <v>2057.94</v>
      </c>
      <c r="K7" s="35">
        <f t="shared" si="1"/>
        <v>2095.94</v>
      </c>
      <c r="L7" s="35">
        <f t="shared" si="1"/>
        <v>2112.94</v>
      </c>
      <c r="M7" s="35">
        <f t="shared" si="1"/>
        <v>2143.2399999999998</v>
      </c>
      <c r="N7" s="35">
        <f>N91</f>
        <v>2137.7400000000002</v>
      </c>
      <c r="O7" s="35">
        <f t="shared" si="1"/>
        <v>2170.54</v>
      </c>
      <c r="P7" s="35">
        <f t="shared" si="1"/>
        <v>2158.54</v>
      </c>
      <c r="Q7" s="35">
        <f t="shared" si="1"/>
        <v>2170.7399999999998</v>
      </c>
      <c r="R7" s="35">
        <f t="shared" si="1"/>
        <v>2135.64</v>
      </c>
      <c r="S7" s="35">
        <f t="shared" si="1"/>
        <v>2134.84</v>
      </c>
      <c r="T7" s="35">
        <f t="shared" si="1"/>
        <v>2141.7399999999998</v>
      </c>
      <c r="U7" s="35">
        <f t="shared" si="1"/>
        <v>2149.44</v>
      </c>
      <c r="V7" s="35">
        <f t="shared" si="1"/>
        <v>2147.94</v>
      </c>
      <c r="W7" s="35">
        <f t="shared" si="1"/>
        <v>2120.04</v>
      </c>
      <c r="X7" s="35">
        <f t="shared" si="1"/>
        <v>2133.1400000000003</v>
      </c>
      <c r="Y7" s="35">
        <f t="shared" si="1"/>
        <v>2145.2399999999998</v>
      </c>
      <c r="Z7" s="35">
        <f t="shared" si="1"/>
        <v>2219.44</v>
      </c>
      <c r="AA7" s="35">
        <f t="shared" si="1"/>
        <v>2220.94</v>
      </c>
      <c r="AB7" s="35">
        <f t="shared" si="1"/>
        <v>2204.14</v>
      </c>
      <c r="AC7" s="35">
        <f t="shared" si="1"/>
        <v>2204.14</v>
      </c>
      <c r="AD7" s="35">
        <f t="shared" si="1"/>
        <v>2187.6400000000003</v>
      </c>
      <c r="AE7" s="35">
        <f t="shared" si="1"/>
        <v>2107.2400000000002</v>
      </c>
      <c r="AF7" s="35">
        <f t="shared" si="1"/>
        <v>2088.2400000000002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89.9</v>
      </c>
      <c r="N11" s="45">
        <v>89.9</v>
      </c>
      <c r="O11" s="45">
        <v>89.9</v>
      </c>
      <c r="P11" s="45">
        <v>89.9</v>
      </c>
      <c r="Q11" s="45">
        <v>89.9</v>
      </c>
      <c r="R11" s="45">
        <v>90.3</v>
      </c>
      <c r="S11" s="45">
        <v>90.3</v>
      </c>
      <c r="T11" s="45">
        <v>90.3</v>
      </c>
      <c r="U11" s="45">
        <v>90.3</v>
      </c>
      <c r="V11" s="45">
        <v>90.3</v>
      </c>
      <c r="W11" s="45">
        <v>90.3</v>
      </c>
      <c r="X11" s="45">
        <v>90.3</v>
      </c>
      <c r="Y11" s="45">
        <v>90.3</v>
      </c>
      <c r="Z11" s="45">
        <v>90.3</v>
      </c>
      <c r="AA11" s="45">
        <v>90.3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89.9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8</v>
      </c>
      <c r="AF12" s="45">
        <v>8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54.6</v>
      </c>
      <c r="N13" s="45">
        <v>54.6</v>
      </c>
      <c r="O13" s="45">
        <v>54.6</v>
      </c>
      <c r="P13" s="45">
        <v>54.6</v>
      </c>
      <c r="Q13" s="45">
        <v>54.6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54.6</v>
      </c>
      <c r="X13" s="45">
        <v>54.6</v>
      </c>
      <c r="Y13" s="45">
        <v>54.6</v>
      </c>
      <c r="Z13" s="45">
        <v>54.6</v>
      </c>
      <c r="AA13" s="45">
        <v>54.6</v>
      </c>
      <c r="AB13" s="45">
        <v>54.4</v>
      </c>
      <c r="AC13" s="45">
        <v>54.4</v>
      </c>
      <c r="AD13" s="45">
        <v>54.4</v>
      </c>
      <c r="AE13" s="45">
        <v>54.4</v>
      </c>
      <c r="AF13" s="45">
        <v>54.4</v>
      </c>
      <c r="AG13" s="46">
        <v>52.4</v>
      </c>
      <c r="AH13" s="47">
        <f t="shared" si="2"/>
        <v>54.6</v>
      </c>
      <c r="AI13" s="48">
        <f t="shared" si="3"/>
        <v>54.4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50.2</v>
      </c>
      <c r="F14" s="58">
        <v>50.2</v>
      </c>
      <c r="G14" s="58">
        <v>50.2</v>
      </c>
      <c r="H14" s="58">
        <v>50.2</v>
      </c>
      <c r="I14" s="58">
        <v>50.2</v>
      </c>
      <c r="J14" s="58">
        <v>50.2</v>
      </c>
      <c r="K14" s="58">
        <v>50.2</v>
      </c>
      <c r="L14" s="58">
        <v>50.2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50.6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47</v>
      </c>
      <c r="C15" s="45">
        <v>47</v>
      </c>
      <c r="D15" s="45">
        <v>47</v>
      </c>
      <c r="E15" s="45">
        <v>37.799999999999997</v>
      </c>
      <c r="F15" s="45">
        <v>37.799999999999997</v>
      </c>
      <c r="G15" s="45">
        <v>37.799999999999997</v>
      </c>
      <c r="H15" s="45">
        <v>37.799999999999997</v>
      </c>
      <c r="I15" s="45">
        <v>37.799999999999997</v>
      </c>
      <c r="J15" s="45">
        <v>37.799999999999997</v>
      </c>
      <c r="K15" s="45">
        <v>37.799999999999997</v>
      </c>
      <c r="L15" s="45">
        <v>37.799999999999997</v>
      </c>
      <c r="M15" s="45">
        <v>47.1</v>
      </c>
      <c r="N15" s="45">
        <v>47.1</v>
      </c>
      <c r="O15" s="45">
        <v>47.1</v>
      </c>
      <c r="P15" s="45">
        <v>47.1</v>
      </c>
      <c r="Q15" s="45">
        <v>47.1</v>
      </c>
      <c r="R15" s="45">
        <v>47.1</v>
      </c>
      <c r="S15" s="45">
        <v>47.1</v>
      </c>
      <c r="T15" s="45">
        <v>47.1</v>
      </c>
      <c r="U15" s="45">
        <v>47.1</v>
      </c>
      <c r="V15" s="45">
        <v>47.1</v>
      </c>
      <c r="W15" s="45">
        <v>47.1</v>
      </c>
      <c r="X15" s="45">
        <v>47.1</v>
      </c>
      <c r="Y15" s="45">
        <v>47.1</v>
      </c>
      <c r="Z15" s="45">
        <v>47.1</v>
      </c>
      <c r="AA15" s="45">
        <v>47.1</v>
      </c>
      <c r="AB15" s="45">
        <v>47.2</v>
      </c>
      <c r="AC15" s="45">
        <v>47.2</v>
      </c>
      <c r="AD15" s="45">
        <v>47.2</v>
      </c>
      <c r="AE15" s="45">
        <v>47.2</v>
      </c>
      <c r="AF15" s="45">
        <v>47.2</v>
      </c>
      <c r="AG15" s="49">
        <v>45</v>
      </c>
      <c r="AH15" s="47">
        <f t="shared" si="2"/>
        <v>47.2</v>
      </c>
      <c r="AI15" s="48">
        <f t="shared" si="3"/>
        <v>37.799999999999997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29.5</v>
      </c>
      <c r="F17" s="45">
        <v>29.5</v>
      </c>
      <c r="G17" s="45">
        <v>29.5</v>
      </c>
      <c r="H17" s="45">
        <v>29.5</v>
      </c>
      <c r="I17" s="45">
        <v>29.5</v>
      </c>
      <c r="J17" s="45">
        <v>29.5</v>
      </c>
      <c r="K17" s="45">
        <v>29.5</v>
      </c>
      <c r="L17" s="45">
        <v>29.5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32</v>
      </c>
      <c r="AE17" s="45">
        <v>28</v>
      </c>
      <c r="AF17" s="45">
        <v>28</v>
      </c>
      <c r="AG17" s="49">
        <v>42</v>
      </c>
      <c r="AH17" s="47">
        <f t="shared" si="2"/>
        <v>32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18</v>
      </c>
      <c r="K18" s="45">
        <v>18</v>
      </c>
      <c r="L18" s="45">
        <v>18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18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34</v>
      </c>
      <c r="F19" s="45">
        <v>34</v>
      </c>
      <c r="G19" s="45">
        <v>34</v>
      </c>
      <c r="H19" s="45">
        <v>34</v>
      </c>
      <c r="I19" s="45">
        <v>34</v>
      </c>
      <c r="J19" s="45">
        <v>34</v>
      </c>
      <c r="K19" s="45">
        <v>34</v>
      </c>
      <c r="L19" s="45">
        <v>34</v>
      </c>
      <c r="M19" s="45">
        <v>34</v>
      </c>
      <c r="N19" s="45">
        <v>34</v>
      </c>
      <c r="O19" s="45">
        <v>34</v>
      </c>
      <c r="P19" s="45">
        <v>34</v>
      </c>
      <c r="Q19" s="45">
        <v>34</v>
      </c>
      <c r="R19" s="45">
        <v>34</v>
      </c>
      <c r="S19" s="45">
        <v>34</v>
      </c>
      <c r="T19" s="45">
        <v>34</v>
      </c>
      <c r="U19" s="45">
        <v>34</v>
      </c>
      <c r="V19" s="45">
        <v>34</v>
      </c>
      <c r="W19" s="45">
        <v>34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5</v>
      </c>
      <c r="I20" s="45">
        <v>5</v>
      </c>
      <c r="J20" s="45">
        <v>5</v>
      </c>
      <c r="K20" s="45">
        <v>15</v>
      </c>
      <c r="L20" s="45">
        <v>30</v>
      </c>
      <c r="M20" s="45">
        <v>21</v>
      </c>
      <c r="N20" s="45">
        <v>18</v>
      </c>
      <c r="O20" s="45">
        <v>30</v>
      </c>
      <c r="P20" s="45">
        <v>24</v>
      </c>
      <c r="Q20" s="45">
        <v>30</v>
      </c>
      <c r="R20" s="45">
        <v>21</v>
      </c>
      <c r="S20" s="45">
        <v>21</v>
      </c>
      <c r="T20" s="45">
        <v>21</v>
      </c>
      <c r="U20" s="45">
        <v>21.1</v>
      </c>
      <c r="V20" s="45">
        <v>21.1</v>
      </c>
      <c r="W20" s="45">
        <v>15.6</v>
      </c>
      <c r="X20" s="45">
        <v>15.6</v>
      </c>
      <c r="Y20" s="45">
        <v>15.6</v>
      </c>
      <c r="Z20" s="45">
        <v>25.3</v>
      </c>
      <c r="AA20" s="45">
        <v>25.3</v>
      </c>
      <c r="AB20" s="45">
        <v>25.2</v>
      </c>
      <c r="AC20" s="45">
        <v>25.2</v>
      </c>
      <c r="AD20" s="45">
        <v>15</v>
      </c>
      <c r="AE20" s="45">
        <v>5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</v>
      </c>
      <c r="C21" s="45">
        <v>25</v>
      </c>
      <c r="D21" s="45">
        <v>25</v>
      </c>
      <c r="E21" s="45">
        <v>25</v>
      </c>
      <c r="F21" s="45">
        <v>25</v>
      </c>
      <c r="G21" s="45">
        <v>25</v>
      </c>
      <c r="H21" s="45">
        <v>25</v>
      </c>
      <c r="I21" s="45">
        <v>30</v>
      </c>
      <c r="J21" s="45">
        <v>30</v>
      </c>
      <c r="K21" s="45">
        <v>30</v>
      </c>
      <c r="L21" s="45">
        <v>30</v>
      </c>
      <c r="M21" s="45">
        <v>29.8</v>
      </c>
      <c r="N21" s="45">
        <v>29.8</v>
      </c>
      <c r="O21" s="45">
        <v>29.8</v>
      </c>
      <c r="P21" s="45">
        <v>29.8</v>
      </c>
      <c r="Q21" s="45">
        <v>29.8</v>
      </c>
      <c r="R21" s="45">
        <v>29.8</v>
      </c>
      <c r="S21" s="45">
        <v>29.8</v>
      </c>
      <c r="T21" s="45">
        <v>29.8</v>
      </c>
      <c r="U21" s="45">
        <v>29.8</v>
      </c>
      <c r="V21" s="45">
        <v>29.8</v>
      </c>
      <c r="W21" s="45">
        <v>29.8</v>
      </c>
      <c r="X21" s="45">
        <v>29.8</v>
      </c>
      <c r="Y21" s="45">
        <v>29.8</v>
      </c>
      <c r="Z21" s="45">
        <v>29.8</v>
      </c>
      <c r="AA21" s="45">
        <v>29.8</v>
      </c>
      <c r="AB21" s="45">
        <v>29.8</v>
      </c>
      <c r="AC21" s="45">
        <v>29.8</v>
      </c>
      <c r="AD21" s="45">
        <v>29.8</v>
      </c>
      <c r="AE21" s="45">
        <v>29.8</v>
      </c>
      <c r="AF21" s="45">
        <v>29.8</v>
      </c>
      <c r="AG21" s="49">
        <v>24.2</v>
      </c>
      <c r="AH21" s="47">
        <f t="shared" si="2"/>
        <v>30</v>
      </c>
      <c r="AI21" s="48">
        <f t="shared" si="3"/>
        <v>25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28.5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3</v>
      </c>
      <c r="I23" s="45">
        <v>3</v>
      </c>
      <c r="J23" s="45">
        <v>3</v>
      </c>
      <c r="K23" s="45">
        <v>18</v>
      </c>
      <c r="L23" s="45">
        <v>18</v>
      </c>
      <c r="M23" s="45">
        <v>18</v>
      </c>
      <c r="N23" s="45">
        <f>0.6*27</f>
        <v>16.2</v>
      </c>
      <c r="O23" s="45">
        <v>27</v>
      </c>
      <c r="P23" s="45">
        <v>21</v>
      </c>
      <c r="Q23" s="45">
        <v>27</v>
      </c>
      <c r="R23" s="45">
        <f>0.7*27</f>
        <v>18.899999999999999</v>
      </c>
      <c r="S23" s="45">
        <f>0.7*27</f>
        <v>18.899999999999999</v>
      </c>
      <c r="T23" s="45">
        <v>13</v>
      </c>
      <c r="U23" s="45">
        <v>18</v>
      </c>
      <c r="V23" s="45">
        <v>18</v>
      </c>
      <c r="W23" s="45">
        <v>13.5</v>
      </c>
      <c r="X23" s="45">
        <v>13.5</v>
      </c>
      <c r="Y23" s="45">
        <v>13.5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24.3</v>
      </c>
      <c r="F24" s="45">
        <v>24.3</v>
      </c>
      <c r="G24" s="45">
        <v>24.3</v>
      </c>
      <c r="H24" s="45">
        <v>24.3</v>
      </c>
      <c r="I24" s="45">
        <v>24.3</v>
      </c>
      <c r="J24" s="45">
        <v>24.3</v>
      </c>
      <c r="K24" s="45">
        <v>24.3</v>
      </c>
      <c r="L24" s="45">
        <v>24.3</v>
      </c>
      <c r="M24" s="45">
        <v>24.3</v>
      </c>
      <c r="N24" s="45">
        <v>24.3</v>
      </c>
      <c r="O24" s="45">
        <v>24.3</v>
      </c>
      <c r="P24" s="45">
        <v>24.3</v>
      </c>
      <c r="Q24" s="45">
        <v>24.3</v>
      </c>
      <c r="R24" s="45">
        <v>24.3</v>
      </c>
      <c r="S24" s="45">
        <v>24.3</v>
      </c>
      <c r="T24" s="45">
        <v>24.3</v>
      </c>
      <c r="U24" s="45">
        <v>24.3</v>
      </c>
      <c r="V24" s="45">
        <v>24.3</v>
      </c>
      <c r="W24" s="45">
        <v>24.3</v>
      </c>
      <c r="X24" s="45">
        <v>24.3</v>
      </c>
      <c r="Y24" s="45">
        <v>24.3</v>
      </c>
      <c r="Z24" s="45">
        <v>24.3</v>
      </c>
      <c r="AA24" s="45">
        <v>24.3</v>
      </c>
      <c r="AB24" s="45">
        <v>24.3</v>
      </c>
      <c r="AC24" s="45">
        <v>24.3</v>
      </c>
      <c r="AD24" s="45">
        <v>24.3</v>
      </c>
      <c r="AE24" s="45">
        <v>24.3</v>
      </c>
      <c r="AF24" s="45">
        <v>24.3</v>
      </c>
      <c r="AG24" s="49">
        <v>25</v>
      </c>
      <c r="AH24" s="47">
        <f t="shared" si="2"/>
        <v>24.5</v>
      </c>
      <c r="AI24" s="48">
        <f t="shared" si="3"/>
        <v>24.3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24</v>
      </c>
      <c r="F26" s="45">
        <v>24</v>
      </c>
      <c r="G26" s="45">
        <v>24</v>
      </c>
      <c r="H26" s="45">
        <v>24</v>
      </c>
      <c r="I26" s="45">
        <v>24</v>
      </c>
      <c r="J26" s="45">
        <v>24</v>
      </c>
      <c r="K26" s="45">
        <v>24</v>
      </c>
      <c r="L26" s="45">
        <v>24</v>
      </c>
      <c r="M26" s="45">
        <v>24</v>
      </c>
      <c r="N26" s="45">
        <v>24</v>
      </c>
      <c r="O26" s="45">
        <v>24</v>
      </c>
      <c r="P26" s="45">
        <v>24</v>
      </c>
      <c r="Q26" s="45">
        <v>24</v>
      </c>
      <c r="R26" s="45">
        <v>24</v>
      </c>
      <c r="S26" s="45">
        <v>24</v>
      </c>
      <c r="T26" s="45">
        <v>24</v>
      </c>
      <c r="U26" s="45">
        <v>24</v>
      </c>
      <c r="V26" s="45">
        <v>24</v>
      </c>
      <c r="W26" s="45">
        <v>24</v>
      </c>
      <c r="X26" s="45">
        <v>24</v>
      </c>
      <c r="Y26" s="45">
        <v>24</v>
      </c>
      <c r="Z26" s="45">
        <v>24</v>
      </c>
      <c r="AA26" s="45">
        <v>24</v>
      </c>
      <c r="AB26" s="45">
        <v>24</v>
      </c>
      <c r="AC26" s="45">
        <v>24</v>
      </c>
      <c r="AD26" s="45">
        <v>24</v>
      </c>
      <c r="AE26" s="45">
        <v>24</v>
      </c>
      <c r="AF26" s="45">
        <v>24</v>
      </c>
      <c r="AG26" s="49">
        <v>25</v>
      </c>
      <c r="AH26" s="47">
        <f t="shared" si="2"/>
        <v>25</v>
      </c>
      <c r="AI26" s="48">
        <f t="shared" si="3"/>
        <v>24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3</v>
      </c>
      <c r="I27" s="45">
        <v>3</v>
      </c>
      <c r="J27" s="45">
        <v>3</v>
      </c>
      <c r="K27" s="45">
        <v>16</v>
      </c>
      <c r="L27" s="45">
        <v>18</v>
      </c>
      <c r="M27" s="45">
        <v>18</v>
      </c>
      <c r="N27" s="45">
        <v>15</v>
      </c>
      <c r="O27" s="45">
        <v>25</v>
      </c>
      <c r="P27" s="45">
        <v>25</v>
      </c>
      <c r="Q27" s="45">
        <v>25</v>
      </c>
      <c r="R27" s="45">
        <f>0.7*25</f>
        <v>17.5</v>
      </c>
      <c r="S27" s="45">
        <f>0.7*25</f>
        <v>17.5</v>
      </c>
      <c r="T27" s="45">
        <v>12</v>
      </c>
      <c r="U27" s="45">
        <v>17</v>
      </c>
      <c r="V27" s="45">
        <v>17</v>
      </c>
      <c r="W27" s="45">
        <v>12.5</v>
      </c>
      <c r="X27" s="45">
        <v>12.5</v>
      </c>
      <c r="Y27" s="45">
        <v>18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4</v>
      </c>
      <c r="N33" s="45">
        <v>4</v>
      </c>
      <c r="O33" s="45">
        <v>4</v>
      </c>
      <c r="P33" s="45">
        <v>4</v>
      </c>
      <c r="Q33" s="45">
        <v>6</v>
      </c>
      <c r="R33" s="45">
        <v>6</v>
      </c>
      <c r="S33" s="45">
        <v>6</v>
      </c>
      <c r="T33" s="45">
        <v>6</v>
      </c>
      <c r="U33" s="45">
        <v>6</v>
      </c>
      <c r="V33" s="45">
        <v>6</v>
      </c>
      <c r="W33" s="45">
        <v>6</v>
      </c>
      <c r="X33" s="45">
        <v>6</v>
      </c>
      <c r="Y33" s="45">
        <v>6</v>
      </c>
      <c r="Z33" s="45">
        <v>6</v>
      </c>
      <c r="AA33" s="45">
        <v>6</v>
      </c>
      <c r="AB33" s="45">
        <v>6</v>
      </c>
      <c r="AC33" s="45">
        <v>6</v>
      </c>
      <c r="AD33" s="45">
        <v>6</v>
      </c>
      <c r="AE33" s="45">
        <v>0</v>
      </c>
      <c r="AF33" s="45">
        <v>0</v>
      </c>
      <c r="AG33" s="49">
        <v>20</v>
      </c>
      <c r="AH33" s="47">
        <f t="shared" si="2"/>
        <v>6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4</v>
      </c>
      <c r="N34" s="45">
        <v>4</v>
      </c>
      <c r="O34" s="45">
        <v>4</v>
      </c>
      <c r="P34" s="45">
        <v>4</v>
      </c>
      <c r="Q34" s="45">
        <v>6</v>
      </c>
      <c r="R34" s="45">
        <v>6</v>
      </c>
      <c r="S34" s="45">
        <v>6</v>
      </c>
      <c r="T34" s="45">
        <v>6</v>
      </c>
      <c r="U34" s="45">
        <v>6</v>
      </c>
      <c r="V34" s="45">
        <v>6</v>
      </c>
      <c r="W34" s="45">
        <v>6</v>
      </c>
      <c r="X34" s="45">
        <v>6</v>
      </c>
      <c r="Y34" s="45">
        <v>6</v>
      </c>
      <c r="Z34" s="45">
        <v>6</v>
      </c>
      <c r="AA34" s="45">
        <v>6</v>
      </c>
      <c r="AB34" s="45">
        <v>6</v>
      </c>
      <c r="AC34" s="45">
        <v>6</v>
      </c>
      <c r="AD34" s="45">
        <v>6</v>
      </c>
      <c r="AE34" s="45">
        <v>0</v>
      </c>
      <c r="AF34" s="45">
        <v>0</v>
      </c>
      <c r="AG34" s="49">
        <v>18</v>
      </c>
      <c r="AH34" s="47">
        <f t="shared" si="2"/>
        <v>6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15.6</v>
      </c>
      <c r="C35" s="45">
        <v>15.6</v>
      </c>
      <c r="D35" s="45">
        <v>15.6</v>
      </c>
      <c r="E35" s="45">
        <v>15.6</v>
      </c>
      <c r="F35" s="45">
        <v>15.6</v>
      </c>
      <c r="G35" s="45">
        <v>15.6</v>
      </c>
      <c r="H35" s="45">
        <v>15.6</v>
      </c>
      <c r="I35" s="45">
        <v>15.6</v>
      </c>
      <c r="J35" s="45">
        <v>15.6</v>
      </c>
      <c r="K35" s="45">
        <v>15.6</v>
      </c>
      <c r="L35" s="45">
        <v>15.6</v>
      </c>
      <c r="M35" s="45">
        <v>15.6</v>
      </c>
      <c r="N35" s="45">
        <v>15.6</v>
      </c>
      <c r="O35" s="45">
        <v>15.6</v>
      </c>
      <c r="P35" s="45">
        <v>15.6</v>
      </c>
      <c r="Q35" s="45">
        <v>15.6</v>
      </c>
      <c r="R35" s="45">
        <v>15.6</v>
      </c>
      <c r="S35" s="45">
        <v>15.6</v>
      </c>
      <c r="T35" s="45">
        <v>15.6</v>
      </c>
      <c r="U35" s="45">
        <v>15.6</v>
      </c>
      <c r="V35" s="45">
        <v>15.6</v>
      </c>
      <c r="W35" s="45">
        <v>15.6</v>
      </c>
      <c r="X35" s="45">
        <v>15.6</v>
      </c>
      <c r="Y35" s="45">
        <v>15.6</v>
      </c>
      <c r="Z35" s="45">
        <v>15.6</v>
      </c>
      <c r="AA35" s="45">
        <v>15.6</v>
      </c>
      <c r="AB35" s="45">
        <v>15.6</v>
      </c>
      <c r="AC35" s="45">
        <v>15.6</v>
      </c>
      <c r="AD35" s="45">
        <v>15.6</v>
      </c>
      <c r="AE35" s="45">
        <v>15.6</v>
      </c>
      <c r="AF35" s="45">
        <v>15.6</v>
      </c>
      <c r="AG35" s="49">
        <v>14.9</v>
      </c>
      <c r="AH35" s="47">
        <f t="shared" si="2"/>
        <v>15.6</v>
      </c>
      <c r="AI35" s="48">
        <f t="shared" si="3"/>
        <v>15.6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2</v>
      </c>
      <c r="I39" s="45">
        <v>2</v>
      </c>
      <c r="J39" s="45">
        <v>6</v>
      </c>
      <c r="K39" s="45">
        <v>6</v>
      </c>
      <c r="L39" s="45">
        <v>6</v>
      </c>
      <c r="M39" s="45">
        <v>6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2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119.6</v>
      </c>
      <c r="C49" s="56">
        <v>119.6</v>
      </c>
      <c r="D49" s="56">
        <v>119.6</v>
      </c>
      <c r="E49" s="58">
        <f>35.7+87.4</f>
        <v>123.10000000000001</v>
      </c>
      <c r="F49" s="58">
        <f>35.7+87.4</f>
        <v>123.10000000000001</v>
      </c>
      <c r="G49" s="58">
        <f>35.7+87.4</f>
        <v>123.10000000000001</v>
      </c>
      <c r="H49" s="58">
        <f>35.2+86.7</f>
        <v>121.9</v>
      </c>
      <c r="I49" s="58">
        <f>35.2+86.7</f>
        <v>121.9</v>
      </c>
      <c r="J49" s="58">
        <v>116</v>
      </c>
      <c r="K49" s="58">
        <v>116</v>
      </c>
      <c r="L49" s="58">
        <v>115</v>
      </c>
      <c r="M49" s="58">
        <f>34.5+85.3</f>
        <v>119.8</v>
      </c>
      <c r="N49" s="58">
        <f>86+34.8</f>
        <v>120.8</v>
      </c>
      <c r="O49" s="58">
        <f>86.5+35.1</f>
        <v>121.6</v>
      </c>
      <c r="P49" s="58">
        <v>121</v>
      </c>
      <c r="Q49" s="58">
        <f>79.4+33.2</f>
        <v>112.60000000000001</v>
      </c>
      <c r="R49" s="58">
        <f t="shared" ref="R49:AF49" si="4">77.4+32.1</f>
        <v>109.5</v>
      </c>
      <c r="S49" s="58">
        <f t="shared" si="4"/>
        <v>109.5</v>
      </c>
      <c r="T49" s="58">
        <f t="shared" si="4"/>
        <v>109.5</v>
      </c>
      <c r="U49" s="58">
        <f t="shared" si="4"/>
        <v>109.5</v>
      </c>
      <c r="V49" s="58">
        <f t="shared" si="4"/>
        <v>109.5</v>
      </c>
      <c r="W49" s="58">
        <f t="shared" si="4"/>
        <v>109.5</v>
      </c>
      <c r="X49" s="58">
        <f t="shared" si="4"/>
        <v>109.5</v>
      </c>
      <c r="Y49" s="58">
        <f t="shared" si="4"/>
        <v>109.5</v>
      </c>
      <c r="Z49" s="58">
        <f t="shared" si="4"/>
        <v>109.5</v>
      </c>
      <c r="AA49" s="56">
        <f t="shared" si="4"/>
        <v>109.5</v>
      </c>
      <c r="AB49" s="56">
        <f t="shared" si="4"/>
        <v>109.5</v>
      </c>
      <c r="AC49" s="56">
        <f t="shared" si="4"/>
        <v>109.5</v>
      </c>
      <c r="AD49" s="56">
        <f t="shared" si="4"/>
        <v>109.5</v>
      </c>
      <c r="AE49" s="56">
        <f t="shared" si="4"/>
        <v>109.5</v>
      </c>
      <c r="AF49" s="56">
        <f t="shared" si="4"/>
        <v>109.5</v>
      </c>
      <c r="AG49" s="54">
        <v>240</v>
      </c>
      <c r="AH49" s="47">
        <f t="shared" si="2"/>
        <v>123.10000000000001</v>
      </c>
      <c r="AI49" s="48">
        <f t="shared" si="3"/>
        <v>109.5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1100.5</v>
      </c>
      <c r="C50" s="60">
        <f t="shared" si="5"/>
        <v>1100.5</v>
      </c>
      <c r="D50" s="60">
        <f t="shared" si="5"/>
        <v>1096.5</v>
      </c>
      <c r="E50" s="60">
        <f t="shared" si="5"/>
        <v>1085.0999999999999</v>
      </c>
      <c r="F50" s="60">
        <f t="shared" si="5"/>
        <v>1085.0999999999999</v>
      </c>
      <c r="G50" s="60">
        <f t="shared" si="5"/>
        <v>1085.0999999999999</v>
      </c>
      <c r="H50" s="60">
        <f t="shared" si="5"/>
        <v>1111.0999999999999</v>
      </c>
      <c r="I50" s="60">
        <f t="shared" si="5"/>
        <v>1116.0999999999999</v>
      </c>
      <c r="J50" s="60">
        <f t="shared" si="5"/>
        <v>1100.0999999999999</v>
      </c>
      <c r="K50" s="60">
        <f t="shared" si="5"/>
        <v>1138.0999999999999</v>
      </c>
      <c r="L50" s="60">
        <f t="shared" si="5"/>
        <v>1155.0999999999999</v>
      </c>
      <c r="M50" s="60">
        <f>SUM(M11:M48)</f>
        <v>1183.0999999999999</v>
      </c>
      <c r="N50" s="60">
        <f>SUM(N11:N48)</f>
        <v>1175.3000000000002</v>
      </c>
      <c r="O50" s="60">
        <f t="shared" si="5"/>
        <v>1208.0999999999999</v>
      </c>
      <c r="P50" s="60">
        <f t="shared" si="5"/>
        <v>1196.0999999999999</v>
      </c>
      <c r="Q50" s="60">
        <f t="shared" si="5"/>
        <v>1212.0999999999999</v>
      </c>
      <c r="R50" s="60">
        <f t="shared" si="5"/>
        <v>1187.9000000000001</v>
      </c>
      <c r="S50" s="60">
        <f t="shared" ref="S50:AA50" si="6">SUM(S11:S48)</f>
        <v>1187.9000000000001</v>
      </c>
      <c r="T50" s="60">
        <f t="shared" si="6"/>
        <v>1176.5</v>
      </c>
      <c r="U50" s="60">
        <f t="shared" si="6"/>
        <v>1186.6000000000001</v>
      </c>
      <c r="V50" s="60">
        <f t="shared" si="6"/>
        <v>1186.6000000000001</v>
      </c>
      <c r="W50" s="60">
        <f t="shared" si="6"/>
        <v>1172.1000000000001</v>
      </c>
      <c r="X50" s="60">
        <f t="shared" si="6"/>
        <v>1174.1000000000001</v>
      </c>
      <c r="Y50" s="60">
        <f t="shared" si="6"/>
        <v>1179.6000000000001</v>
      </c>
      <c r="Z50" s="60">
        <f t="shared" si="6"/>
        <v>1215.8000000000002</v>
      </c>
      <c r="AA50" s="60">
        <f t="shared" si="6"/>
        <v>1215.8000000000002</v>
      </c>
      <c r="AB50" s="60">
        <f t="shared" si="5"/>
        <v>1215.5</v>
      </c>
      <c r="AC50" s="60">
        <f t="shared" si="5"/>
        <v>1215.5</v>
      </c>
      <c r="AD50" s="60">
        <f t="shared" si="5"/>
        <v>1208.3000000000002</v>
      </c>
      <c r="AE50" s="60">
        <f t="shared" si="5"/>
        <v>1125.3000000000002</v>
      </c>
      <c r="AF50" s="60">
        <f t="shared" si="5"/>
        <v>1108.3000000000002</v>
      </c>
      <c r="AG50" s="61">
        <f>SUM(AG13:AG48)</f>
        <v>922.14</v>
      </c>
      <c r="AH50" s="47">
        <f t="shared" si="2"/>
        <v>1215.8000000000002</v>
      </c>
      <c r="AI50" s="48">
        <f t="shared" si="3"/>
        <v>1085.0999999999999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533.4</v>
      </c>
      <c r="C54" s="60">
        <f t="shared" si="7"/>
        <v>533.4</v>
      </c>
      <c r="D54" s="60">
        <f t="shared" si="7"/>
        <v>533.4</v>
      </c>
      <c r="E54" s="60">
        <f t="shared" si="7"/>
        <v>533</v>
      </c>
      <c r="F54" s="60">
        <f t="shared" si="7"/>
        <v>533</v>
      </c>
      <c r="G54" s="60">
        <f t="shared" si="7"/>
        <v>533</v>
      </c>
      <c r="H54" s="60">
        <f t="shared" si="7"/>
        <v>538</v>
      </c>
      <c r="I54" s="60">
        <f t="shared" si="7"/>
        <v>538</v>
      </c>
      <c r="J54" s="60">
        <f t="shared" si="7"/>
        <v>538</v>
      </c>
      <c r="K54" s="60">
        <f t="shared" si="7"/>
        <v>538</v>
      </c>
      <c r="L54" s="60">
        <f t="shared" si="7"/>
        <v>538</v>
      </c>
      <c r="M54" s="60">
        <f t="shared" si="7"/>
        <v>538</v>
      </c>
      <c r="N54" s="60">
        <f t="shared" si="7"/>
        <v>538</v>
      </c>
      <c r="O54" s="60">
        <f t="shared" si="7"/>
        <v>538</v>
      </c>
      <c r="P54" s="60">
        <f t="shared" si="7"/>
        <v>538</v>
      </c>
      <c r="Q54" s="60">
        <f t="shared" si="7"/>
        <v>538</v>
      </c>
      <c r="R54" s="60">
        <f t="shared" si="7"/>
        <v>538</v>
      </c>
      <c r="S54" s="60">
        <f t="shared" ref="S54:AA54" si="8">SUM(S51:S53)</f>
        <v>538</v>
      </c>
      <c r="T54" s="60">
        <f t="shared" si="8"/>
        <v>538</v>
      </c>
      <c r="U54" s="60">
        <f t="shared" si="8"/>
        <v>538</v>
      </c>
      <c r="V54" s="60">
        <f t="shared" si="8"/>
        <v>538</v>
      </c>
      <c r="W54" s="60">
        <f t="shared" si="8"/>
        <v>538</v>
      </c>
      <c r="X54" s="60">
        <f t="shared" si="8"/>
        <v>538</v>
      </c>
      <c r="Y54" s="60">
        <f t="shared" si="8"/>
        <v>538</v>
      </c>
      <c r="Z54" s="60">
        <f t="shared" si="8"/>
        <v>538</v>
      </c>
      <c r="AA54" s="60">
        <f t="shared" si="8"/>
        <v>538</v>
      </c>
      <c r="AB54" s="60">
        <f t="shared" si="7"/>
        <v>538</v>
      </c>
      <c r="AC54" s="60">
        <f t="shared" si="7"/>
        <v>538</v>
      </c>
      <c r="AD54" s="60">
        <f t="shared" si="7"/>
        <v>538</v>
      </c>
      <c r="AE54" s="60">
        <f t="shared" si="7"/>
        <v>538</v>
      </c>
      <c r="AF54" s="60">
        <f t="shared" si="7"/>
        <v>538</v>
      </c>
      <c r="AG54" s="61">
        <f t="shared" si="7"/>
        <v>538.1</v>
      </c>
      <c r="AH54" s="47">
        <f t="shared" si="2"/>
        <v>538</v>
      </c>
      <c r="AI54" s="48">
        <f t="shared" si="3"/>
        <v>533</v>
      </c>
      <c r="AK54" s="50"/>
    </row>
    <row r="55" spans="1:41" x14ac:dyDescent="0.25">
      <c r="A55" s="44" t="s">
        <v>63</v>
      </c>
      <c r="B55" s="45">
        <v>134.4</v>
      </c>
      <c r="C55" s="45">
        <v>135</v>
      </c>
      <c r="D55" s="45">
        <v>120</v>
      </c>
      <c r="E55" s="45">
        <v>130</v>
      </c>
      <c r="F55" s="45">
        <v>136</v>
      </c>
      <c r="G55" s="45">
        <v>136</v>
      </c>
      <c r="H55" s="45">
        <v>136</v>
      </c>
      <c r="I55" s="45">
        <v>136</v>
      </c>
      <c r="J55" s="45">
        <v>136</v>
      </c>
      <c r="K55" s="45">
        <v>136</v>
      </c>
      <c r="L55" s="45">
        <v>136</v>
      </c>
      <c r="M55" s="45">
        <v>136</v>
      </c>
      <c r="N55" s="45">
        <v>136</v>
      </c>
      <c r="O55" s="45">
        <v>136</v>
      </c>
      <c r="P55" s="45">
        <v>136</v>
      </c>
      <c r="Q55" s="45">
        <v>136</v>
      </c>
      <c r="R55" s="45">
        <v>137.19999999999999</v>
      </c>
      <c r="S55" s="45">
        <v>138.4</v>
      </c>
      <c r="T55" s="45">
        <v>138.4</v>
      </c>
      <c r="U55" s="45">
        <v>137.19999999999999</v>
      </c>
      <c r="V55" s="45">
        <v>138</v>
      </c>
      <c r="W55" s="45">
        <v>138</v>
      </c>
      <c r="X55" s="45">
        <v>138</v>
      </c>
      <c r="Y55" s="45">
        <v>138</v>
      </c>
      <c r="Z55" s="45">
        <v>137.6</v>
      </c>
      <c r="AA55" s="45">
        <v>137.6</v>
      </c>
      <c r="AB55" s="45">
        <v>137.6</v>
      </c>
      <c r="AC55" s="45">
        <v>137.6</v>
      </c>
      <c r="AD55" s="45">
        <v>140</v>
      </c>
      <c r="AE55" s="45">
        <v>140</v>
      </c>
      <c r="AF55" s="45">
        <v>140</v>
      </c>
      <c r="AG55" s="51">
        <v>144</v>
      </c>
      <c r="AH55" s="47">
        <f t="shared" si="2"/>
        <v>140</v>
      </c>
      <c r="AI55" s="48">
        <f t="shared" si="3"/>
        <v>120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60</v>
      </c>
      <c r="E56" s="64">
        <v>69</v>
      </c>
      <c r="F56" s="64">
        <v>70</v>
      </c>
      <c r="G56" s="64">
        <v>70</v>
      </c>
      <c r="H56" s="64">
        <v>70</v>
      </c>
      <c r="I56" s="64">
        <v>70</v>
      </c>
      <c r="J56" s="64">
        <v>70</v>
      </c>
      <c r="K56" s="64">
        <v>70</v>
      </c>
      <c r="L56" s="64">
        <v>70</v>
      </c>
      <c r="M56" s="64">
        <v>70</v>
      </c>
      <c r="N56" s="64">
        <v>70</v>
      </c>
      <c r="O56" s="64">
        <v>70</v>
      </c>
      <c r="P56" s="64">
        <v>70</v>
      </c>
      <c r="Q56" s="64">
        <v>70</v>
      </c>
      <c r="R56" s="64">
        <v>68.2</v>
      </c>
      <c r="S56" s="64">
        <v>67.3</v>
      </c>
      <c r="T56" s="64">
        <v>67.3</v>
      </c>
      <c r="U56" s="64">
        <v>67.3</v>
      </c>
      <c r="V56" s="64">
        <v>67.5</v>
      </c>
      <c r="W56" s="64">
        <v>67.5</v>
      </c>
      <c r="X56" s="64">
        <v>67.5</v>
      </c>
      <c r="Y56" s="64">
        <v>67.5</v>
      </c>
      <c r="Z56" s="64">
        <v>65.8</v>
      </c>
      <c r="AA56" s="45">
        <v>69.900000000000006</v>
      </c>
      <c r="AB56" s="45">
        <v>69.900000000000006</v>
      </c>
      <c r="AC56" s="45">
        <v>69.900000000000006</v>
      </c>
      <c r="AD56" s="45">
        <v>69.7</v>
      </c>
      <c r="AE56" s="45">
        <v>69.7</v>
      </c>
      <c r="AF56" s="45">
        <v>69.7</v>
      </c>
      <c r="AG56" s="54">
        <v>70</v>
      </c>
      <c r="AH56" s="47">
        <f t="shared" si="2"/>
        <v>70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65</v>
      </c>
      <c r="C57" s="64">
        <v>65</v>
      </c>
      <c r="D57" s="64">
        <v>65</v>
      </c>
      <c r="E57" s="64">
        <v>65</v>
      </c>
      <c r="F57" s="64">
        <v>65</v>
      </c>
      <c r="G57" s="64">
        <v>65</v>
      </c>
      <c r="H57" s="64">
        <v>65</v>
      </c>
      <c r="I57" s="64">
        <v>65</v>
      </c>
      <c r="J57" s="64">
        <v>65</v>
      </c>
      <c r="K57" s="64">
        <v>65</v>
      </c>
      <c r="L57" s="64">
        <v>65</v>
      </c>
      <c r="M57" s="64">
        <v>65</v>
      </c>
      <c r="N57" s="64">
        <v>65</v>
      </c>
      <c r="O57" s="64">
        <v>65</v>
      </c>
      <c r="P57" s="64">
        <v>65</v>
      </c>
      <c r="Q57" s="64">
        <v>65</v>
      </c>
      <c r="R57" s="64">
        <v>65</v>
      </c>
      <c r="S57" s="64">
        <v>65</v>
      </c>
      <c r="T57" s="64">
        <v>66.2</v>
      </c>
      <c r="U57" s="64">
        <v>66.2</v>
      </c>
      <c r="V57" s="64">
        <v>66.099999999999994</v>
      </c>
      <c r="W57" s="64">
        <v>65.099999999999994</v>
      </c>
      <c r="X57" s="64">
        <v>65.099999999999994</v>
      </c>
      <c r="Y57" s="64">
        <v>65.099999999999994</v>
      </c>
      <c r="Z57" s="64">
        <v>65.400000000000006</v>
      </c>
      <c r="AA57" s="45">
        <v>61.9</v>
      </c>
      <c r="AB57" s="45">
        <v>65.5</v>
      </c>
      <c r="AC57" s="45">
        <v>65.5</v>
      </c>
      <c r="AD57" s="45">
        <v>65.3</v>
      </c>
      <c r="AE57" s="45">
        <v>65.3</v>
      </c>
      <c r="AF57" s="45">
        <v>65.3</v>
      </c>
      <c r="AG57" s="54">
        <v>69</v>
      </c>
      <c r="AH57" s="47">
        <f t="shared" si="2"/>
        <v>66.2</v>
      </c>
      <c r="AI57" s="48">
        <f t="shared" si="3"/>
        <v>61.9</v>
      </c>
      <c r="AK57" s="50"/>
    </row>
    <row r="58" spans="1:41" x14ac:dyDescent="0.25">
      <c r="A58" s="53" t="s">
        <v>66</v>
      </c>
      <c r="B58" s="64">
        <v>60</v>
      </c>
      <c r="C58" s="64">
        <v>60</v>
      </c>
      <c r="D58" s="64">
        <v>50.2</v>
      </c>
      <c r="E58" s="56">
        <v>61.4</v>
      </c>
      <c r="F58" s="56">
        <v>61.2</v>
      </c>
      <c r="G58" s="56">
        <v>61.2</v>
      </c>
      <c r="H58" s="56">
        <v>61.2</v>
      </c>
      <c r="I58" s="56">
        <v>61.2</v>
      </c>
      <c r="J58" s="56">
        <v>61.2</v>
      </c>
      <c r="K58" s="56">
        <v>61.2</v>
      </c>
      <c r="L58" s="56">
        <v>61.2</v>
      </c>
      <c r="M58" s="64">
        <v>58.5</v>
      </c>
      <c r="N58" s="64">
        <v>60.9</v>
      </c>
      <c r="O58" s="64">
        <v>60.9</v>
      </c>
      <c r="P58" s="64">
        <v>60.9</v>
      </c>
      <c r="Q58" s="64">
        <v>60.9</v>
      </c>
      <c r="R58" s="64">
        <v>50.6</v>
      </c>
      <c r="S58" s="64">
        <v>50.6</v>
      </c>
      <c r="T58" s="64">
        <v>61.4</v>
      </c>
      <c r="U58" s="64">
        <v>61.4</v>
      </c>
      <c r="V58" s="64">
        <v>61.4</v>
      </c>
      <c r="W58" s="64">
        <v>49.9</v>
      </c>
      <c r="X58" s="64">
        <v>61</v>
      </c>
      <c r="Y58" s="64">
        <v>61.4</v>
      </c>
      <c r="Z58" s="64">
        <v>61.4</v>
      </c>
      <c r="AA58" s="45">
        <v>60.8</v>
      </c>
      <c r="AB58" s="45">
        <v>60.8</v>
      </c>
      <c r="AC58" s="45">
        <v>60.8</v>
      </c>
      <c r="AD58" s="45">
        <v>60.7</v>
      </c>
      <c r="AE58" s="45">
        <v>60.7</v>
      </c>
      <c r="AF58" s="45">
        <v>60.7</v>
      </c>
      <c r="AG58" s="54">
        <v>60</v>
      </c>
      <c r="AH58" s="47">
        <f t="shared" si="2"/>
        <v>61.4</v>
      </c>
      <c r="AI58" s="48">
        <f t="shared" si="3"/>
        <v>49.9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56">
        <v>28</v>
      </c>
      <c r="F59" s="56">
        <v>28</v>
      </c>
      <c r="G59" s="56">
        <v>28</v>
      </c>
      <c r="H59" s="56">
        <v>28</v>
      </c>
      <c r="I59" s="56">
        <v>28</v>
      </c>
      <c r="J59" s="56">
        <v>28</v>
      </c>
      <c r="K59" s="56">
        <v>28</v>
      </c>
      <c r="L59" s="56">
        <v>28</v>
      </c>
      <c r="M59" s="64">
        <v>28</v>
      </c>
      <c r="N59" s="64">
        <v>28</v>
      </c>
      <c r="O59" s="64">
        <v>28</v>
      </c>
      <c r="P59" s="64">
        <v>28</v>
      </c>
      <c r="Q59" s="64">
        <v>28</v>
      </c>
      <c r="R59" s="64">
        <v>28</v>
      </c>
      <c r="S59" s="64">
        <v>28</v>
      </c>
      <c r="T59" s="64">
        <v>28</v>
      </c>
      <c r="U59" s="64">
        <v>28</v>
      </c>
      <c r="V59" s="64">
        <v>28</v>
      </c>
      <c r="W59" s="64">
        <v>28</v>
      </c>
      <c r="X59" s="64">
        <v>28</v>
      </c>
      <c r="Y59" s="64">
        <v>28</v>
      </c>
      <c r="Z59" s="64">
        <v>28</v>
      </c>
      <c r="AA59" s="45">
        <v>28</v>
      </c>
      <c r="AB59" s="45">
        <v>28.6</v>
      </c>
      <c r="AC59" s="45">
        <v>28.6</v>
      </c>
      <c r="AD59" s="45">
        <v>28.6</v>
      </c>
      <c r="AE59" s="45">
        <v>28.6</v>
      </c>
      <c r="AF59" s="45">
        <v>28.6</v>
      </c>
      <c r="AG59" s="54">
        <v>30</v>
      </c>
      <c r="AH59" s="47">
        <f t="shared" si="2"/>
        <v>28.6</v>
      </c>
      <c r="AI59" s="48">
        <f t="shared" si="3"/>
        <v>28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4.8</v>
      </c>
      <c r="N60" s="64">
        <v>9.9</v>
      </c>
      <c r="O60" s="64">
        <v>9.9</v>
      </c>
      <c r="P60" s="64">
        <v>9.9</v>
      </c>
      <c r="Q60" s="64">
        <v>9.9</v>
      </c>
      <c r="R60" s="64">
        <v>9.9</v>
      </c>
      <c r="S60" s="64">
        <v>3.6</v>
      </c>
      <c r="T60" s="64">
        <v>4.9000000000000004</v>
      </c>
      <c r="U60" s="64">
        <v>3.7</v>
      </c>
      <c r="V60" s="64">
        <v>1.3</v>
      </c>
      <c r="W60" s="64">
        <v>0.4</v>
      </c>
      <c r="X60" s="64">
        <v>0.4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9.9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13.2</v>
      </c>
      <c r="G61" s="64">
        <v>13.2</v>
      </c>
      <c r="H61" s="64">
        <v>13.2</v>
      </c>
      <c r="I61" s="64">
        <v>13.2</v>
      </c>
      <c r="J61" s="64">
        <v>13.2</v>
      </c>
      <c r="K61" s="64">
        <v>13.2</v>
      </c>
      <c r="L61" s="64">
        <v>13.2</v>
      </c>
      <c r="M61" s="64">
        <v>13.2</v>
      </c>
      <c r="N61" s="64">
        <v>13.2</v>
      </c>
      <c r="O61" s="64">
        <v>13.2</v>
      </c>
      <c r="P61" s="64">
        <v>13.2</v>
      </c>
      <c r="Q61" s="64">
        <v>13.2</v>
      </c>
      <c r="R61" s="64">
        <v>13.2</v>
      </c>
      <c r="S61" s="64">
        <v>13.2</v>
      </c>
      <c r="T61" s="64">
        <v>13.2</v>
      </c>
      <c r="U61" s="64">
        <v>13.2</v>
      </c>
      <c r="V61" s="64">
        <v>13.2</v>
      </c>
      <c r="W61" s="64">
        <v>13.2</v>
      </c>
      <c r="X61" s="64">
        <v>13.2</v>
      </c>
      <c r="Y61" s="64">
        <v>13.2</v>
      </c>
      <c r="Z61" s="64">
        <v>13.2</v>
      </c>
      <c r="AA61" s="64">
        <v>13.2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13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0</v>
      </c>
      <c r="O62" s="64">
        <v>0</v>
      </c>
      <c r="P62" s="64">
        <v>0</v>
      </c>
      <c r="Q62" s="64">
        <v>0</v>
      </c>
      <c r="R62" s="64">
        <v>0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8.9</v>
      </c>
      <c r="C63" s="64">
        <v>8.9</v>
      </c>
      <c r="D63" s="64">
        <v>8.9</v>
      </c>
      <c r="E63" s="64">
        <v>8.9</v>
      </c>
      <c r="F63" s="64">
        <v>8.9</v>
      </c>
      <c r="G63" s="64">
        <v>8.9</v>
      </c>
      <c r="H63" s="64">
        <v>8.9</v>
      </c>
      <c r="I63" s="64">
        <v>8.9</v>
      </c>
      <c r="J63" s="64">
        <v>8.9</v>
      </c>
      <c r="K63" s="64">
        <v>8.9</v>
      </c>
      <c r="L63" s="64">
        <v>8.9</v>
      </c>
      <c r="M63" s="64">
        <v>8.9</v>
      </c>
      <c r="N63" s="64">
        <v>8.9</v>
      </c>
      <c r="O63" s="64">
        <v>8.9</v>
      </c>
      <c r="P63" s="64">
        <v>8.9</v>
      </c>
      <c r="Q63" s="64">
        <v>8.9</v>
      </c>
      <c r="R63" s="64">
        <v>8.9</v>
      </c>
      <c r="S63" s="64">
        <v>8.9</v>
      </c>
      <c r="T63" s="64">
        <v>8.9</v>
      </c>
      <c r="U63" s="64">
        <v>8.9</v>
      </c>
      <c r="V63" s="64">
        <v>8.9</v>
      </c>
      <c r="W63" s="64">
        <v>8.9</v>
      </c>
      <c r="X63" s="64">
        <v>8.9</v>
      </c>
      <c r="Y63" s="64">
        <v>8.9</v>
      </c>
      <c r="Z63" s="64">
        <v>8.9</v>
      </c>
      <c r="AA63" s="64">
        <v>8.9</v>
      </c>
      <c r="AB63" s="64">
        <v>8.9</v>
      </c>
      <c r="AC63" s="64">
        <v>8.9</v>
      </c>
      <c r="AD63" s="64">
        <v>8.9</v>
      </c>
      <c r="AE63" s="64">
        <v>8.9</v>
      </c>
      <c r="AF63" s="64">
        <v>8.9</v>
      </c>
      <c r="AG63" s="54">
        <v>14.1</v>
      </c>
      <c r="AH63" s="47">
        <f t="shared" si="2"/>
        <v>8.9</v>
      </c>
      <c r="AI63" s="48">
        <f t="shared" si="3"/>
        <v>8.9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13.6</v>
      </c>
      <c r="C64" s="64">
        <v>13.6</v>
      </c>
      <c r="D64" s="64">
        <v>13.6</v>
      </c>
      <c r="E64" s="64">
        <v>13.6</v>
      </c>
      <c r="F64" s="64">
        <v>13.6</v>
      </c>
      <c r="G64" s="64">
        <v>13.6</v>
      </c>
      <c r="H64" s="64">
        <v>13.6</v>
      </c>
      <c r="I64" s="64">
        <v>13.6</v>
      </c>
      <c r="J64" s="64">
        <v>13.6</v>
      </c>
      <c r="K64" s="64">
        <v>13.6</v>
      </c>
      <c r="L64" s="64">
        <v>13.6</v>
      </c>
      <c r="M64" s="64">
        <v>13.8</v>
      </c>
      <c r="N64" s="64">
        <v>13.8</v>
      </c>
      <c r="O64" s="64">
        <v>13.8</v>
      </c>
      <c r="P64" s="64">
        <v>13.8</v>
      </c>
      <c r="Q64" s="64">
        <v>10</v>
      </c>
      <c r="R64" s="64">
        <v>10</v>
      </c>
      <c r="S64" s="64">
        <v>10</v>
      </c>
      <c r="T64" s="64">
        <v>10</v>
      </c>
      <c r="U64" s="64">
        <v>10</v>
      </c>
      <c r="V64" s="64">
        <v>10</v>
      </c>
      <c r="W64" s="64">
        <v>10</v>
      </c>
      <c r="X64" s="64">
        <v>10</v>
      </c>
      <c r="Y64" s="64">
        <v>10</v>
      </c>
      <c r="Z64" s="64">
        <v>10</v>
      </c>
      <c r="AA64" s="64">
        <v>10</v>
      </c>
      <c r="AB64" s="64">
        <v>10</v>
      </c>
      <c r="AC64" s="64">
        <v>10</v>
      </c>
      <c r="AD64" s="64">
        <v>10</v>
      </c>
      <c r="AE64" s="64">
        <v>10</v>
      </c>
      <c r="AF64" s="64">
        <v>10</v>
      </c>
      <c r="AG64" s="54">
        <v>14</v>
      </c>
      <c r="AH64" s="47">
        <f t="shared" si="2"/>
        <v>13.8</v>
      </c>
      <c r="AI64" s="48">
        <f t="shared" si="3"/>
        <v>10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406.84</v>
      </c>
      <c r="C68" s="60">
        <f t="shared" si="9"/>
        <v>407.44</v>
      </c>
      <c r="D68" s="60">
        <f t="shared" si="9"/>
        <v>382.64</v>
      </c>
      <c r="E68" s="60">
        <f t="shared" si="9"/>
        <v>412.84</v>
      </c>
      <c r="F68" s="60">
        <f t="shared" si="9"/>
        <v>419.84</v>
      </c>
      <c r="G68" s="60">
        <f t="shared" si="9"/>
        <v>419.84</v>
      </c>
      <c r="H68" s="60">
        <f t="shared" si="9"/>
        <v>419.84</v>
      </c>
      <c r="I68" s="60">
        <f t="shared" si="9"/>
        <v>419.84</v>
      </c>
      <c r="J68" s="60">
        <f t="shared" si="9"/>
        <v>419.84</v>
      </c>
      <c r="K68" s="60">
        <f t="shared" si="9"/>
        <v>419.84</v>
      </c>
      <c r="L68" s="60">
        <f t="shared" si="9"/>
        <v>419.84</v>
      </c>
      <c r="M68" s="60">
        <f t="shared" si="9"/>
        <v>422.14</v>
      </c>
      <c r="N68" s="60">
        <f t="shared" si="9"/>
        <v>424.43999999999994</v>
      </c>
      <c r="O68" s="60">
        <f t="shared" si="9"/>
        <v>424.43999999999994</v>
      </c>
      <c r="P68" s="60">
        <f t="shared" si="9"/>
        <v>424.43999999999994</v>
      </c>
      <c r="Q68" s="60">
        <f t="shared" si="9"/>
        <v>420.63999999999993</v>
      </c>
      <c r="R68" s="60">
        <f t="shared" si="9"/>
        <v>409.73999999999995</v>
      </c>
      <c r="S68" s="60">
        <f t="shared" ref="S68:AA68" si="10">SUM(S55:S67)</f>
        <v>408.94</v>
      </c>
      <c r="T68" s="60">
        <f t="shared" si="10"/>
        <v>422.2399999999999</v>
      </c>
      <c r="U68" s="60">
        <f t="shared" si="10"/>
        <v>419.83999999999992</v>
      </c>
      <c r="V68" s="60">
        <f t="shared" si="10"/>
        <v>418.34</v>
      </c>
      <c r="W68" s="60">
        <f t="shared" si="10"/>
        <v>404.93999999999994</v>
      </c>
      <c r="X68" s="60">
        <f t="shared" si="10"/>
        <v>416.03999999999996</v>
      </c>
      <c r="Y68" s="60">
        <f t="shared" si="10"/>
        <v>416.03999999999996</v>
      </c>
      <c r="Z68" s="60">
        <f t="shared" si="10"/>
        <v>414.2399999999999</v>
      </c>
      <c r="AA68" s="60">
        <f t="shared" si="10"/>
        <v>414.23999999999995</v>
      </c>
      <c r="AB68" s="60">
        <f t="shared" si="9"/>
        <v>419.04</v>
      </c>
      <c r="AC68" s="60">
        <f t="shared" si="9"/>
        <v>419.04</v>
      </c>
      <c r="AD68" s="60">
        <f t="shared" si="9"/>
        <v>420.94</v>
      </c>
      <c r="AE68" s="60">
        <f t="shared" si="9"/>
        <v>420.94</v>
      </c>
      <c r="AF68" s="60">
        <f t="shared" si="9"/>
        <v>420.94</v>
      </c>
      <c r="AG68" s="61">
        <f t="shared" si="9"/>
        <v>489.91</v>
      </c>
      <c r="AH68" s="47">
        <f t="shared" si="2"/>
        <v>424.43999999999994</v>
      </c>
      <c r="AI68" s="48">
        <f t="shared" si="3"/>
        <v>382.64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30</v>
      </c>
      <c r="AA69" s="45">
        <v>30</v>
      </c>
      <c r="AB69" s="45">
        <v>14</v>
      </c>
      <c r="AC69" s="45">
        <v>14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64"/>
      <c r="J70" s="64"/>
      <c r="K70" s="64"/>
      <c r="L70" s="64"/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4.8</v>
      </c>
      <c r="Z70" s="64">
        <v>12</v>
      </c>
      <c r="AA70" s="64">
        <v>12.5</v>
      </c>
      <c r="AB70" s="64">
        <v>8.6</v>
      </c>
      <c r="AC70" s="64">
        <v>8.6</v>
      </c>
      <c r="AD70" s="45">
        <v>0</v>
      </c>
      <c r="AE70" s="45">
        <v>0</v>
      </c>
      <c r="AF70" s="45">
        <v>0</v>
      </c>
      <c r="AG70" s="54">
        <v>32</v>
      </c>
      <c r="AH70" s="47">
        <f t="shared" si="2"/>
        <v>12.5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66"/>
      <c r="J71" s="66"/>
      <c r="K71" s="66"/>
      <c r="L71" s="66"/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1.8</v>
      </c>
      <c r="Z71" s="66">
        <v>4.4000000000000004</v>
      </c>
      <c r="AA71" s="66">
        <v>5.4</v>
      </c>
      <c r="AB71" s="66">
        <v>3</v>
      </c>
      <c r="AC71" s="66">
        <v>3</v>
      </c>
      <c r="AD71" s="45">
        <v>0</v>
      </c>
      <c r="AE71" s="45">
        <v>0</v>
      </c>
      <c r="AF71" s="45">
        <v>0</v>
      </c>
      <c r="AG71" s="67">
        <v>14</v>
      </c>
      <c r="AH71" s="47">
        <f t="shared" si="2"/>
        <v>5.4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0</v>
      </c>
      <c r="P72" s="60">
        <f t="shared" si="11"/>
        <v>0</v>
      </c>
      <c r="Q72" s="60">
        <f t="shared" si="11"/>
        <v>0</v>
      </c>
      <c r="R72" s="60">
        <f t="shared" si="11"/>
        <v>0</v>
      </c>
      <c r="S72" s="60">
        <f t="shared" ref="S72:AA72" si="12">S69+S70+S71</f>
        <v>0</v>
      </c>
      <c r="T72" s="60">
        <f t="shared" si="12"/>
        <v>0</v>
      </c>
      <c r="U72" s="60">
        <f t="shared" si="12"/>
        <v>0</v>
      </c>
      <c r="V72" s="60">
        <f t="shared" si="12"/>
        <v>0</v>
      </c>
      <c r="W72" s="60">
        <f t="shared" si="12"/>
        <v>0</v>
      </c>
      <c r="X72" s="60">
        <f t="shared" si="12"/>
        <v>0</v>
      </c>
      <c r="Y72" s="60">
        <f t="shared" si="12"/>
        <v>6.6</v>
      </c>
      <c r="Z72" s="60">
        <f t="shared" si="12"/>
        <v>46.4</v>
      </c>
      <c r="AA72" s="60">
        <f t="shared" si="12"/>
        <v>47.9</v>
      </c>
      <c r="AB72" s="60">
        <f t="shared" si="11"/>
        <v>25.6</v>
      </c>
      <c r="AC72" s="60">
        <f t="shared" si="11"/>
        <v>25.6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47.9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12.1</v>
      </c>
      <c r="C73" s="45">
        <v>9.6999999999999993</v>
      </c>
      <c r="D73" s="45">
        <v>7.7</v>
      </c>
      <c r="E73" s="45">
        <v>-6.5</v>
      </c>
      <c r="F73" s="45">
        <v>-4</v>
      </c>
      <c r="G73" s="45">
        <v>-4.2</v>
      </c>
      <c r="H73" s="45">
        <v>-14.5</v>
      </c>
      <c r="I73" s="45">
        <v>-20</v>
      </c>
      <c r="J73" s="45">
        <v>-36</v>
      </c>
      <c r="K73" s="45">
        <v>-31.8</v>
      </c>
      <c r="L73" s="45">
        <v>-32</v>
      </c>
      <c r="M73" s="45">
        <v>-26.7</v>
      </c>
      <c r="N73" s="45">
        <v>-22.4</v>
      </c>
      <c r="O73" s="45">
        <v>-2.8</v>
      </c>
      <c r="P73" s="45">
        <v>-7</v>
      </c>
      <c r="Q73" s="45">
        <v>-8.9</v>
      </c>
      <c r="R73" s="45">
        <v>-3.2</v>
      </c>
      <c r="S73" s="45">
        <v>-7.8</v>
      </c>
      <c r="T73" s="45">
        <v>-18.3</v>
      </c>
      <c r="U73" s="45">
        <v>-16.7</v>
      </c>
      <c r="V73" s="45">
        <v>-3.4</v>
      </c>
      <c r="W73" s="45">
        <v>-4.7</v>
      </c>
      <c r="X73" s="45">
        <v>-3.8</v>
      </c>
      <c r="Y73" s="45">
        <v>-7.1</v>
      </c>
      <c r="Z73" s="45">
        <v>0</v>
      </c>
      <c r="AA73" s="45">
        <v>0</v>
      </c>
      <c r="AB73" s="45">
        <v>1</v>
      </c>
      <c r="AC73" s="45">
        <v>1</v>
      </c>
      <c r="AD73" s="45">
        <v>15.4</v>
      </c>
      <c r="AE73" s="45">
        <v>15</v>
      </c>
      <c r="AF73" s="45">
        <v>13</v>
      </c>
      <c r="AG73" s="51"/>
      <c r="AH73" s="47">
        <f t="shared" si="2"/>
        <v>15.4</v>
      </c>
      <c r="AI73" s="48">
        <f t="shared" si="3"/>
        <v>-36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-341.2</v>
      </c>
      <c r="C75" s="64">
        <v>-323.3</v>
      </c>
      <c r="D75" s="64">
        <v>-340.5</v>
      </c>
      <c r="E75" s="64">
        <v>-369</v>
      </c>
      <c r="F75" s="64">
        <v>-373</v>
      </c>
      <c r="G75" s="64">
        <v>-395</v>
      </c>
      <c r="H75" s="64">
        <v>-418</v>
      </c>
      <c r="I75" s="64">
        <v>-458</v>
      </c>
      <c r="J75" s="64">
        <v>-439</v>
      </c>
      <c r="K75" s="64">
        <v>-450</v>
      </c>
      <c r="L75" s="64">
        <v>-428</v>
      </c>
      <c r="M75" s="64">
        <v>-430</v>
      </c>
      <c r="N75" s="64">
        <v>-432.8</v>
      </c>
      <c r="O75" s="64">
        <v>-400.6</v>
      </c>
      <c r="P75" s="64">
        <v>-380</v>
      </c>
      <c r="Q75" s="64">
        <v>-369.3</v>
      </c>
      <c r="R75" s="64">
        <v>-396.2</v>
      </c>
      <c r="S75" s="64">
        <v>-391</v>
      </c>
      <c r="T75" s="64">
        <v>-376</v>
      </c>
      <c r="U75" s="64">
        <v>-381.5</v>
      </c>
      <c r="V75" s="64">
        <v>-424.7</v>
      </c>
      <c r="W75" s="64">
        <v>-439.8</v>
      </c>
      <c r="X75" s="64">
        <v>-440</v>
      </c>
      <c r="Y75" s="64">
        <v>-371.5</v>
      </c>
      <c r="Z75" s="64">
        <v>-352.5</v>
      </c>
      <c r="AA75" s="64">
        <v>-346.6</v>
      </c>
      <c r="AB75" s="64">
        <v>-344</v>
      </c>
      <c r="AC75" s="64">
        <v>-344</v>
      </c>
      <c r="AD75" s="64">
        <v>-352</v>
      </c>
      <c r="AE75" s="64">
        <v>-330</v>
      </c>
      <c r="AF75" s="64">
        <v>-308</v>
      </c>
      <c r="AG75" s="74"/>
      <c r="AH75" s="47">
        <f t="shared" si="2"/>
        <v>-308</v>
      </c>
      <c r="AI75" s="48">
        <f t="shared" si="3"/>
        <v>-458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75">
        <v>0</v>
      </c>
      <c r="F76" s="75"/>
      <c r="G76" s="75"/>
      <c r="H76" s="75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>
        <v>0</v>
      </c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>
        <v>0</v>
      </c>
      <c r="C78" s="45">
        <v>0</v>
      </c>
      <c r="D78" s="45">
        <v>0</v>
      </c>
      <c r="E78" s="76">
        <v>0</v>
      </c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5</v>
      </c>
      <c r="U78" s="76">
        <v>5</v>
      </c>
      <c r="V78" s="76">
        <v>5</v>
      </c>
      <c r="W78" s="76">
        <v>5</v>
      </c>
      <c r="X78" s="76">
        <v>5</v>
      </c>
      <c r="Y78" s="76">
        <v>5</v>
      </c>
      <c r="Z78" s="76">
        <v>5</v>
      </c>
      <c r="AA78" s="76">
        <v>5</v>
      </c>
      <c r="AB78" s="76">
        <v>5</v>
      </c>
      <c r="AC78" s="76">
        <v>5</v>
      </c>
      <c r="AD78" s="76">
        <v>5</v>
      </c>
      <c r="AE78" s="76">
        <v>8</v>
      </c>
      <c r="AF78" s="76">
        <v>8</v>
      </c>
      <c r="AG78" s="74"/>
      <c r="AH78" s="47">
        <f t="shared" si="13"/>
        <v>8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76">
        <v>0</v>
      </c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76">
        <v>0</v>
      </c>
      <c r="F80" s="76"/>
      <c r="G80" s="76"/>
      <c r="H80" s="76"/>
      <c r="I80" s="76"/>
      <c r="J80" s="76"/>
      <c r="K80" s="76"/>
      <c r="L80" s="76"/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6">
        <v>0</v>
      </c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3"/>
        <v>0</v>
      </c>
      <c r="AI80" s="48">
        <f t="shared" si="1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76">
        <v>0</v>
      </c>
      <c r="F81" s="76"/>
      <c r="G81" s="76"/>
      <c r="H81" s="76"/>
      <c r="I81" s="76"/>
      <c r="J81" s="76"/>
      <c r="K81" s="76"/>
      <c r="L81" s="76"/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76">
        <v>0</v>
      </c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76">
        <v>0</v>
      </c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76">
        <v>0</v>
      </c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5">SUMIF(B73:B83,"&gt;0")</f>
        <v>12.1</v>
      </c>
      <c r="C84" s="60">
        <f t="shared" si="15"/>
        <v>9.6999999999999993</v>
      </c>
      <c r="D84" s="60">
        <f t="shared" si="15"/>
        <v>7.7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 t="shared" si="15"/>
        <v>0</v>
      </c>
      <c r="O84" s="60">
        <f t="shared" si="15"/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ref="S84:AA84" si="16">SUMIF(S73:S83,"&gt;0")</f>
        <v>0</v>
      </c>
      <c r="T84" s="60">
        <f t="shared" si="16"/>
        <v>5</v>
      </c>
      <c r="U84" s="60">
        <f t="shared" si="16"/>
        <v>5</v>
      </c>
      <c r="V84" s="60">
        <f t="shared" si="16"/>
        <v>5</v>
      </c>
      <c r="W84" s="60">
        <f t="shared" si="16"/>
        <v>5</v>
      </c>
      <c r="X84" s="60">
        <f t="shared" si="16"/>
        <v>5</v>
      </c>
      <c r="Y84" s="60">
        <f t="shared" si="16"/>
        <v>5</v>
      </c>
      <c r="Z84" s="60">
        <f t="shared" si="16"/>
        <v>5</v>
      </c>
      <c r="AA84" s="60">
        <f t="shared" si="16"/>
        <v>5</v>
      </c>
      <c r="AB84" s="60">
        <f t="shared" si="15"/>
        <v>6</v>
      </c>
      <c r="AC84" s="60">
        <f t="shared" si="15"/>
        <v>6</v>
      </c>
      <c r="AD84" s="60">
        <f t="shared" si="15"/>
        <v>20.399999999999999</v>
      </c>
      <c r="AE84" s="60">
        <f t="shared" si="15"/>
        <v>23</v>
      </c>
      <c r="AF84" s="60">
        <f t="shared" si="15"/>
        <v>21</v>
      </c>
      <c r="AG84" s="87">
        <f>SUM(AG73:AG83)</f>
        <v>0</v>
      </c>
      <c r="AH84" s="47">
        <f t="shared" si="13"/>
        <v>23</v>
      </c>
      <c r="AI84" s="48">
        <f t="shared" si="14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2052.84</v>
      </c>
      <c r="C89" s="94">
        <f t="shared" si="17"/>
        <v>2051.04</v>
      </c>
      <c r="D89" s="94">
        <f t="shared" si="17"/>
        <v>2020.24</v>
      </c>
      <c r="E89" s="94">
        <f t="shared" si="17"/>
        <v>2030.9399999999998</v>
      </c>
      <c r="F89" s="94">
        <f t="shared" si="17"/>
        <v>2037.9399999999998</v>
      </c>
      <c r="G89" s="94">
        <f t="shared" si="17"/>
        <v>2037.9399999999998</v>
      </c>
      <c r="H89" s="94">
        <f t="shared" si="17"/>
        <v>2068.94</v>
      </c>
      <c r="I89" s="94">
        <f t="shared" si="17"/>
        <v>2073.94</v>
      </c>
      <c r="J89" s="94">
        <f t="shared" si="17"/>
        <v>2057.94</v>
      </c>
      <c r="K89" s="94">
        <f t="shared" si="17"/>
        <v>2095.94</v>
      </c>
      <c r="L89" s="94">
        <f t="shared" si="17"/>
        <v>2112.94</v>
      </c>
      <c r="M89" s="94">
        <f t="shared" si="17"/>
        <v>2143.2399999999998</v>
      </c>
      <c r="N89" s="94">
        <f t="shared" si="17"/>
        <v>2137.7400000000002</v>
      </c>
      <c r="O89" s="94">
        <f t="shared" si="17"/>
        <v>2170.54</v>
      </c>
      <c r="P89" s="94">
        <f t="shared" si="17"/>
        <v>2158.54</v>
      </c>
      <c r="Q89" s="94">
        <f t="shared" si="17"/>
        <v>2170.7399999999998</v>
      </c>
      <c r="R89" s="94">
        <f t="shared" si="17"/>
        <v>2135.64</v>
      </c>
      <c r="S89" s="94">
        <f t="shared" ref="S89:AA89" si="18">S50+S54+S72+S68+S84+S88</f>
        <v>2134.84</v>
      </c>
      <c r="T89" s="94">
        <f t="shared" si="18"/>
        <v>2141.7399999999998</v>
      </c>
      <c r="U89" s="94">
        <f t="shared" si="18"/>
        <v>2149.44</v>
      </c>
      <c r="V89" s="94">
        <f t="shared" si="18"/>
        <v>2147.94</v>
      </c>
      <c r="W89" s="94">
        <f t="shared" si="18"/>
        <v>2120.04</v>
      </c>
      <c r="X89" s="94">
        <f t="shared" si="18"/>
        <v>2133.1400000000003</v>
      </c>
      <c r="Y89" s="94">
        <f t="shared" si="18"/>
        <v>2145.2399999999998</v>
      </c>
      <c r="Z89" s="94">
        <f t="shared" si="18"/>
        <v>2219.44</v>
      </c>
      <c r="AA89" s="94">
        <f t="shared" si="18"/>
        <v>2220.94</v>
      </c>
      <c r="AB89" s="94">
        <f t="shared" si="17"/>
        <v>2204.14</v>
      </c>
      <c r="AC89" s="94">
        <f t="shared" si="17"/>
        <v>2204.14</v>
      </c>
      <c r="AD89" s="94">
        <f t="shared" si="17"/>
        <v>2187.6400000000003</v>
      </c>
      <c r="AE89" s="94">
        <f t="shared" si="17"/>
        <v>2107.2400000000002</v>
      </c>
      <c r="AF89" s="94">
        <f t="shared" si="17"/>
        <v>2088.2400000000002</v>
      </c>
      <c r="AG89" s="61">
        <f t="shared" si="17"/>
        <v>2111.5500000000002</v>
      </c>
      <c r="AH89" s="47">
        <f t="shared" si="13"/>
        <v>2220.94</v>
      </c>
      <c r="AI89" s="48">
        <f t="shared" si="14"/>
        <v>2020.24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0</v>
      </c>
      <c r="AI90" s="48">
        <f t="shared" si="14"/>
        <v>0</v>
      </c>
    </row>
    <row r="91" spans="1:40" ht="15.75" thickBot="1" x14ac:dyDescent="0.3">
      <c r="A91" s="73" t="s">
        <v>102</v>
      </c>
      <c r="B91" s="94">
        <f t="shared" ref="B91:AF91" si="19">B89+B90</f>
        <v>2052.84</v>
      </c>
      <c r="C91" s="94">
        <f t="shared" si="19"/>
        <v>2051.04</v>
      </c>
      <c r="D91" s="94">
        <f t="shared" si="19"/>
        <v>2020.24</v>
      </c>
      <c r="E91" s="94">
        <f t="shared" si="19"/>
        <v>2030.9399999999998</v>
      </c>
      <c r="F91" s="94">
        <f t="shared" si="19"/>
        <v>2037.9399999999998</v>
      </c>
      <c r="G91" s="94">
        <f t="shared" si="19"/>
        <v>2037.9399999999998</v>
      </c>
      <c r="H91" s="94">
        <f t="shared" si="19"/>
        <v>2068.94</v>
      </c>
      <c r="I91" s="94">
        <f t="shared" si="19"/>
        <v>2073.94</v>
      </c>
      <c r="J91" s="94">
        <f t="shared" si="19"/>
        <v>2057.94</v>
      </c>
      <c r="K91" s="94">
        <f t="shared" si="19"/>
        <v>2095.94</v>
      </c>
      <c r="L91" s="94">
        <f t="shared" si="19"/>
        <v>2112.94</v>
      </c>
      <c r="M91" s="94">
        <f t="shared" si="19"/>
        <v>2143.2399999999998</v>
      </c>
      <c r="N91" s="94">
        <f t="shared" si="19"/>
        <v>2137.7400000000002</v>
      </c>
      <c r="O91" s="94">
        <f t="shared" si="19"/>
        <v>2170.54</v>
      </c>
      <c r="P91" s="94">
        <f t="shared" si="19"/>
        <v>2158.54</v>
      </c>
      <c r="Q91" s="94">
        <f t="shared" si="19"/>
        <v>2170.7399999999998</v>
      </c>
      <c r="R91" s="94">
        <f t="shared" si="19"/>
        <v>2135.64</v>
      </c>
      <c r="S91" s="94">
        <f t="shared" ref="S91:AA91" si="20">S89+S90</f>
        <v>2134.84</v>
      </c>
      <c r="T91" s="94">
        <f t="shared" si="20"/>
        <v>2141.7399999999998</v>
      </c>
      <c r="U91" s="94">
        <f t="shared" si="20"/>
        <v>2149.44</v>
      </c>
      <c r="V91" s="94">
        <f t="shared" si="20"/>
        <v>2147.94</v>
      </c>
      <c r="W91" s="94">
        <f t="shared" si="20"/>
        <v>2120.04</v>
      </c>
      <c r="X91" s="94">
        <f t="shared" si="20"/>
        <v>2133.1400000000003</v>
      </c>
      <c r="Y91" s="94">
        <f t="shared" si="20"/>
        <v>2145.2399999999998</v>
      </c>
      <c r="Z91" s="94">
        <f t="shared" si="20"/>
        <v>2219.44</v>
      </c>
      <c r="AA91" s="94">
        <f t="shared" si="20"/>
        <v>2220.94</v>
      </c>
      <c r="AB91" s="94">
        <f t="shared" si="19"/>
        <v>2204.14</v>
      </c>
      <c r="AC91" s="94">
        <f t="shared" si="19"/>
        <v>2204.14</v>
      </c>
      <c r="AD91" s="94">
        <f t="shared" si="19"/>
        <v>2187.6400000000003</v>
      </c>
      <c r="AE91" s="94">
        <f t="shared" si="19"/>
        <v>2107.2400000000002</v>
      </c>
      <c r="AF91" s="94">
        <f t="shared" si="19"/>
        <v>2088.2400000000002</v>
      </c>
      <c r="AG91" s="87">
        <f>AG88+AG84+AG72+AG68+AG50+AG90</f>
        <v>1573.45</v>
      </c>
      <c r="AH91" s="47">
        <f t="shared" si="13"/>
        <v>2220.94</v>
      </c>
      <c r="AI91" s="48">
        <f t="shared" si="14"/>
        <v>2020.24</v>
      </c>
    </row>
    <row r="92" spans="1:40" ht="15.75" thickBot="1" x14ac:dyDescent="0.3">
      <c r="A92" s="73" t="s">
        <v>103</v>
      </c>
      <c r="B92" s="94">
        <f>B91-(-B99)</f>
        <v>1711.64</v>
      </c>
      <c r="C92" s="94">
        <f t="shared" ref="C92:AF92" si="21">C91-(-C99)</f>
        <v>1727.74</v>
      </c>
      <c r="D92" s="94">
        <f t="shared" si="21"/>
        <v>1679.74</v>
      </c>
      <c r="E92" s="94">
        <f t="shared" si="21"/>
        <v>1661.9399999999998</v>
      </c>
      <c r="F92" s="94">
        <f t="shared" si="21"/>
        <v>1664.9399999999998</v>
      </c>
      <c r="G92" s="94">
        <f t="shared" si="21"/>
        <v>1642.9399999999998</v>
      </c>
      <c r="H92" s="94">
        <f t="shared" si="21"/>
        <v>1650.94</v>
      </c>
      <c r="I92" s="94">
        <f t="shared" si="21"/>
        <v>1615.94</v>
      </c>
      <c r="J92" s="94">
        <f t="shared" si="21"/>
        <v>1618.94</v>
      </c>
      <c r="K92" s="94">
        <f t="shared" si="21"/>
        <v>1645.94</v>
      </c>
      <c r="L92" s="94">
        <f t="shared" si="21"/>
        <v>1684.94</v>
      </c>
      <c r="M92" s="94">
        <f t="shared" si="21"/>
        <v>1713.2399999999998</v>
      </c>
      <c r="N92" s="94">
        <f t="shared" si="21"/>
        <v>1704.9400000000003</v>
      </c>
      <c r="O92" s="94">
        <f t="shared" si="21"/>
        <v>1769.94</v>
      </c>
      <c r="P92" s="94">
        <f t="shared" si="21"/>
        <v>1778.54</v>
      </c>
      <c r="Q92" s="94">
        <f t="shared" si="21"/>
        <v>1801.4399999999998</v>
      </c>
      <c r="R92" s="94">
        <f t="shared" si="21"/>
        <v>1739.4399999999998</v>
      </c>
      <c r="S92" s="94">
        <f t="shared" ref="S92:AA92" si="22">S91-(-S99)</f>
        <v>1743.8400000000001</v>
      </c>
      <c r="T92" s="94">
        <f t="shared" si="22"/>
        <v>1765.7399999999998</v>
      </c>
      <c r="U92" s="94">
        <f t="shared" si="22"/>
        <v>1767.94</v>
      </c>
      <c r="V92" s="94">
        <f t="shared" si="22"/>
        <v>1723.24</v>
      </c>
      <c r="W92" s="94">
        <f t="shared" si="22"/>
        <v>1680.24</v>
      </c>
      <c r="X92" s="94">
        <f t="shared" si="22"/>
        <v>1693.1400000000003</v>
      </c>
      <c r="Y92" s="94">
        <f t="shared" si="22"/>
        <v>1773.7399999999998</v>
      </c>
      <c r="Z92" s="94">
        <f t="shared" si="22"/>
        <v>1866.94</v>
      </c>
      <c r="AA92" s="94">
        <f t="shared" si="22"/>
        <v>1874.3400000000001</v>
      </c>
      <c r="AB92" s="94">
        <f t="shared" si="21"/>
        <v>1860.1399999999999</v>
      </c>
      <c r="AC92" s="94">
        <f t="shared" si="21"/>
        <v>1860.1399999999999</v>
      </c>
      <c r="AD92" s="94">
        <f t="shared" si="21"/>
        <v>1835.6400000000003</v>
      </c>
      <c r="AE92" s="94">
        <f t="shared" si="21"/>
        <v>1777.2400000000002</v>
      </c>
      <c r="AF92" s="94">
        <f t="shared" si="21"/>
        <v>1780.2400000000002</v>
      </c>
      <c r="AG92" s="87"/>
      <c r="AH92" s="47">
        <f t="shared" si="13"/>
        <v>1874.3400000000001</v>
      </c>
      <c r="AI92" s="48">
        <f t="shared" si="14"/>
        <v>1615.94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>
        <f>B75</f>
        <v>-341.2</v>
      </c>
      <c r="C99" s="60">
        <f t="shared" ref="C99:AF99" si="23">C75</f>
        <v>-323.3</v>
      </c>
      <c r="D99" s="60">
        <f t="shared" si="23"/>
        <v>-340.5</v>
      </c>
      <c r="E99" s="60">
        <f t="shared" si="23"/>
        <v>-369</v>
      </c>
      <c r="F99" s="60">
        <f t="shared" si="23"/>
        <v>-373</v>
      </c>
      <c r="G99" s="60">
        <f t="shared" si="23"/>
        <v>-395</v>
      </c>
      <c r="H99" s="60">
        <f t="shared" si="23"/>
        <v>-418</v>
      </c>
      <c r="I99" s="60">
        <f t="shared" si="23"/>
        <v>-458</v>
      </c>
      <c r="J99" s="60">
        <f t="shared" si="23"/>
        <v>-439</v>
      </c>
      <c r="K99" s="60">
        <f t="shared" si="23"/>
        <v>-450</v>
      </c>
      <c r="L99" s="60">
        <f t="shared" si="23"/>
        <v>-428</v>
      </c>
      <c r="M99" s="60">
        <f t="shared" si="23"/>
        <v>-430</v>
      </c>
      <c r="N99" s="60">
        <f t="shared" si="23"/>
        <v>-432.8</v>
      </c>
      <c r="O99" s="60">
        <f t="shared" si="23"/>
        <v>-400.6</v>
      </c>
      <c r="P99" s="60">
        <f t="shared" si="23"/>
        <v>-380</v>
      </c>
      <c r="Q99" s="60">
        <f t="shared" si="23"/>
        <v>-369.3</v>
      </c>
      <c r="R99" s="60">
        <f t="shared" si="23"/>
        <v>-396.2</v>
      </c>
      <c r="S99" s="60">
        <f t="shared" ref="S99:AA99" si="24">S75</f>
        <v>-391</v>
      </c>
      <c r="T99" s="60">
        <f t="shared" si="24"/>
        <v>-376</v>
      </c>
      <c r="U99" s="60">
        <f t="shared" si="24"/>
        <v>-381.5</v>
      </c>
      <c r="V99" s="60">
        <f t="shared" si="24"/>
        <v>-424.7</v>
      </c>
      <c r="W99" s="60">
        <f t="shared" si="24"/>
        <v>-439.8</v>
      </c>
      <c r="X99" s="60">
        <f t="shared" si="24"/>
        <v>-440</v>
      </c>
      <c r="Y99" s="60">
        <f t="shared" si="24"/>
        <v>-371.5</v>
      </c>
      <c r="Z99" s="60">
        <f t="shared" si="24"/>
        <v>-352.5</v>
      </c>
      <c r="AA99" s="60">
        <f t="shared" si="24"/>
        <v>-346.6</v>
      </c>
      <c r="AB99" s="60">
        <f t="shared" si="23"/>
        <v>-344</v>
      </c>
      <c r="AC99" s="60">
        <f t="shared" si="23"/>
        <v>-344</v>
      </c>
      <c r="AD99" s="60">
        <f t="shared" si="23"/>
        <v>-352</v>
      </c>
      <c r="AE99" s="60">
        <f t="shared" si="23"/>
        <v>-330</v>
      </c>
      <c r="AF99" s="60">
        <f t="shared" si="23"/>
        <v>-308</v>
      </c>
      <c r="AG99" s="87"/>
      <c r="AH99" s="47">
        <f t="shared" si="13"/>
        <v>-308</v>
      </c>
      <c r="AI99" s="48">
        <f t="shared" si="14"/>
        <v>-458</v>
      </c>
      <c r="AK99" s="50"/>
    </row>
    <row r="100" spans="1:37" ht="15.75" thickBot="1" x14ac:dyDescent="0.3">
      <c r="A100" s="73" t="s">
        <v>108</v>
      </c>
      <c r="B100" s="60">
        <f t="shared" ref="B100:AF100" si="25">B84-B99</f>
        <v>353.3</v>
      </c>
      <c r="C100" s="60">
        <f t="shared" si="25"/>
        <v>333</v>
      </c>
      <c r="D100" s="60">
        <f t="shared" si="25"/>
        <v>348.2</v>
      </c>
      <c r="E100" s="60">
        <f t="shared" si="25"/>
        <v>369</v>
      </c>
      <c r="F100" s="60">
        <f t="shared" si="25"/>
        <v>373</v>
      </c>
      <c r="G100" s="60">
        <f t="shared" si="25"/>
        <v>395</v>
      </c>
      <c r="H100" s="60">
        <f t="shared" si="25"/>
        <v>418</v>
      </c>
      <c r="I100" s="60">
        <f t="shared" si="25"/>
        <v>458</v>
      </c>
      <c r="J100" s="60">
        <f t="shared" si="25"/>
        <v>439</v>
      </c>
      <c r="K100" s="60">
        <f t="shared" si="25"/>
        <v>450</v>
      </c>
      <c r="L100" s="60">
        <f t="shared" si="25"/>
        <v>428</v>
      </c>
      <c r="M100" s="60">
        <f t="shared" si="25"/>
        <v>430</v>
      </c>
      <c r="N100" s="60">
        <f t="shared" si="25"/>
        <v>432.8</v>
      </c>
      <c r="O100" s="60">
        <f t="shared" si="25"/>
        <v>400.6</v>
      </c>
      <c r="P100" s="60">
        <f t="shared" si="25"/>
        <v>380</v>
      </c>
      <c r="Q100" s="60">
        <f t="shared" si="25"/>
        <v>369.3</v>
      </c>
      <c r="R100" s="60">
        <f t="shared" si="25"/>
        <v>396.2</v>
      </c>
      <c r="S100" s="60">
        <f t="shared" ref="S100:AA100" si="26">S84-S99</f>
        <v>391</v>
      </c>
      <c r="T100" s="60">
        <f t="shared" si="26"/>
        <v>381</v>
      </c>
      <c r="U100" s="60">
        <f t="shared" si="26"/>
        <v>386.5</v>
      </c>
      <c r="V100" s="60">
        <f t="shared" si="26"/>
        <v>429.7</v>
      </c>
      <c r="W100" s="60">
        <f t="shared" si="26"/>
        <v>444.8</v>
      </c>
      <c r="X100" s="60">
        <f t="shared" si="26"/>
        <v>445</v>
      </c>
      <c r="Y100" s="60">
        <f t="shared" si="26"/>
        <v>376.5</v>
      </c>
      <c r="Z100" s="60">
        <f t="shared" si="26"/>
        <v>357.5</v>
      </c>
      <c r="AA100" s="60">
        <f t="shared" si="26"/>
        <v>351.6</v>
      </c>
      <c r="AB100" s="60">
        <f t="shared" si="25"/>
        <v>350</v>
      </c>
      <c r="AC100" s="60">
        <f t="shared" si="25"/>
        <v>350</v>
      </c>
      <c r="AD100" s="60">
        <f t="shared" si="25"/>
        <v>372.4</v>
      </c>
      <c r="AE100" s="60">
        <f t="shared" si="25"/>
        <v>353</v>
      </c>
      <c r="AF100" s="60">
        <f t="shared" si="25"/>
        <v>329</v>
      </c>
      <c r="AG100" s="87"/>
      <c r="AH100" s="47">
        <f t="shared" si="13"/>
        <v>458</v>
      </c>
      <c r="AI100" s="48">
        <f t="shared" si="14"/>
        <v>329</v>
      </c>
    </row>
    <row r="101" spans="1:37" x14ac:dyDescent="0.25">
      <c r="A101" s="99" t="s">
        <v>109</v>
      </c>
      <c r="B101" s="100">
        <v>49.997999999999998</v>
      </c>
      <c r="C101" s="100">
        <v>49.988</v>
      </c>
      <c r="D101" s="100">
        <v>50.009</v>
      </c>
      <c r="E101" s="100">
        <v>49.93</v>
      </c>
      <c r="F101" s="100">
        <v>49.93</v>
      </c>
      <c r="G101" s="100">
        <v>49.93</v>
      </c>
      <c r="H101" s="100">
        <v>49.960999999999999</v>
      </c>
      <c r="I101" s="100">
        <v>49.892000000000003</v>
      </c>
      <c r="J101" s="100">
        <v>49.892000000000003</v>
      </c>
      <c r="K101" s="100">
        <v>49.892000000000003</v>
      </c>
      <c r="L101" s="100">
        <v>50.002000000000002</v>
      </c>
      <c r="M101" s="100">
        <v>50</v>
      </c>
      <c r="N101" s="100">
        <v>49.920999999999999</v>
      </c>
      <c r="O101" s="100">
        <v>50.043999999999997</v>
      </c>
      <c r="P101" s="100">
        <v>50.01</v>
      </c>
      <c r="Q101" s="100">
        <v>50.005000000000003</v>
      </c>
      <c r="R101" s="100">
        <v>50.061</v>
      </c>
      <c r="S101" s="100">
        <v>50.097000000000001</v>
      </c>
      <c r="T101" s="100">
        <v>50.027000000000001</v>
      </c>
      <c r="U101" s="100">
        <v>50.027000000000001</v>
      </c>
      <c r="V101" s="100">
        <v>49.921999999999997</v>
      </c>
      <c r="W101" s="100">
        <v>50.017000000000003</v>
      </c>
      <c r="X101" s="100">
        <v>49.97</v>
      </c>
      <c r="Y101" s="100">
        <v>50</v>
      </c>
      <c r="Z101" s="100">
        <v>50.05</v>
      </c>
      <c r="AA101" s="100">
        <v>50.04</v>
      </c>
      <c r="AB101" s="100">
        <v>50</v>
      </c>
      <c r="AC101" s="100">
        <v>50</v>
      </c>
      <c r="AD101" s="100">
        <v>49.94</v>
      </c>
      <c r="AE101" s="100">
        <v>50.033999999999999</v>
      </c>
      <c r="AF101" s="100">
        <v>50.045000000000002</v>
      </c>
      <c r="AG101" s="101"/>
      <c r="AH101" s="47">
        <f t="shared" si="13"/>
        <v>50.097000000000001</v>
      </c>
      <c r="AI101" s="48">
        <f t="shared" si="14"/>
        <v>49.892000000000003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128.9</v>
      </c>
      <c r="C103" s="64">
        <v>129.80000000000001</v>
      </c>
      <c r="D103" s="64">
        <v>129</v>
      </c>
      <c r="E103" s="64">
        <v>129.30000000000001</v>
      </c>
      <c r="F103" s="64">
        <v>129.30000000000001</v>
      </c>
      <c r="G103" s="64">
        <v>129.30000000000001</v>
      </c>
      <c r="H103" s="64">
        <v>129.19999999999999</v>
      </c>
      <c r="I103" s="64">
        <v>126.3</v>
      </c>
      <c r="J103" s="64">
        <v>126.3</v>
      </c>
      <c r="K103" s="64">
        <v>126.3</v>
      </c>
      <c r="L103" s="64">
        <v>125.9</v>
      </c>
      <c r="M103" s="64">
        <v>124.6</v>
      </c>
      <c r="N103" s="64">
        <v>125.4</v>
      </c>
      <c r="O103" s="64">
        <v>124.8</v>
      </c>
      <c r="P103" s="64">
        <v>123</v>
      </c>
      <c r="Q103" s="64">
        <v>123.5</v>
      </c>
      <c r="R103" s="64">
        <v>126.1</v>
      </c>
      <c r="S103" s="64">
        <v>126.2</v>
      </c>
      <c r="T103" s="64">
        <v>127.8</v>
      </c>
      <c r="U103" s="64">
        <v>127.8</v>
      </c>
      <c r="V103" s="64">
        <v>127.8</v>
      </c>
      <c r="W103" s="64">
        <v>127.8</v>
      </c>
      <c r="X103" s="64">
        <v>128.30000000000001</v>
      </c>
      <c r="Y103" s="64">
        <v>127.2</v>
      </c>
      <c r="Z103" s="64">
        <v>127.7</v>
      </c>
      <c r="AA103" s="64">
        <v>127.9</v>
      </c>
      <c r="AB103" s="64">
        <v>129.1</v>
      </c>
      <c r="AC103" s="64">
        <v>129.1</v>
      </c>
      <c r="AD103" s="64">
        <v>128.19999999999999</v>
      </c>
      <c r="AE103" s="64">
        <v>128.6</v>
      </c>
      <c r="AF103" s="64">
        <v>128.5</v>
      </c>
      <c r="AG103" s="103"/>
      <c r="AH103" s="47">
        <f t="shared" si="13"/>
        <v>129.80000000000001</v>
      </c>
      <c r="AI103" s="48">
        <f t="shared" si="14"/>
        <v>123</v>
      </c>
    </row>
    <row r="104" spans="1:37" x14ac:dyDescent="0.25">
      <c r="A104" s="102" t="s">
        <v>112</v>
      </c>
      <c r="B104" s="64">
        <v>124.6</v>
      </c>
      <c r="C104" s="64">
        <v>127.5</v>
      </c>
      <c r="D104" s="64">
        <v>128.1</v>
      </c>
      <c r="E104" s="64">
        <v>128.19999999999999</v>
      </c>
      <c r="F104" s="64">
        <v>128.19999999999999</v>
      </c>
      <c r="G104" s="64">
        <v>128.19999999999999</v>
      </c>
      <c r="H104" s="64">
        <v>125.6</v>
      </c>
      <c r="I104" s="64">
        <v>126.4</v>
      </c>
      <c r="J104" s="64">
        <v>126.4</v>
      </c>
      <c r="K104" s="64">
        <v>126.4</v>
      </c>
      <c r="L104" s="64">
        <v>126.1</v>
      </c>
      <c r="M104" s="64">
        <v>125.1</v>
      </c>
      <c r="N104" s="64">
        <v>125.8</v>
      </c>
      <c r="O104" s="64">
        <v>127.3</v>
      </c>
      <c r="P104" s="64">
        <v>126.1</v>
      </c>
      <c r="Q104" s="64">
        <v>127</v>
      </c>
      <c r="R104" s="64">
        <v>126.7</v>
      </c>
      <c r="S104" s="64">
        <v>127.6</v>
      </c>
      <c r="T104" s="64">
        <v>125.9</v>
      </c>
      <c r="U104" s="64">
        <v>128.6</v>
      </c>
      <c r="V104" s="64">
        <v>129.1</v>
      </c>
      <c r="W104" s="64">
        <v>127.6</v>
      </c>
      <c r="X104" s="64">
        <v>130.19999999999999</v>
      </c>
      <c r="Y104" s="64">
        <v>126</v>
      </c>
      <c r="Z104" s="64">
        <v>125.4</v>
      </c>
      <c r="AA104" s="64">
        <v>125.9</v>
      </c>
      <c r="AB104" s="64">
        <v>127.6</v>
      </c>
      <c r="AC104" s="64">
        <v>127.6</v>
      </c>
      <c r="AD104" s="64">
        <v>125.6</v>
      </c>
      <c r="AE104" s="64">
        <v>125.2</v>
      </c>
      <c r="AF104" s="64">
        <v>126.1</v>
      </c>
      <c r="AG104" s="103"/>
      <c r="AH104" s="47">
        <f t="shared" si="13"/>
        <v>130.19999999999999</v>
      </c>
      <c r="AI104" s="48">
        <f t="shared" si="14"/>
        <v>124.6</v>
      </c>
    </row>
    <row r="105" spans="1:37" x14ac:dyDescent="0.25">
      <c r="A105" s="104" t="s">
        <v>113</v>
      </c>
      <c r="B105" s="64">
        <v>129.9</v>
      </c>
      <c r="C105" s="64">
        <v>133.5</v>
      </c>
      <c r="D105" s="64">
        <v>132.9</v>
      </c>
      <c r="E105" s="64">
        <v>132.9</v>
      </c>
      <c r="F105" s="64">
        <v>132.9</v>
      </c>
      <c r="G105" s="64">
        <v>132.9</v>
      </c>
      <c r="H105" s="64">
        <v>131.69999999999999</v>
      </c>
      <c r="I105" s="64">
        <v>131.1</v>
      </c>
      <c r="J105" s="64">
        <v>131.1</v>
      </c>
      <c r="K105" s="64">
        <v>131.1</v>
      </c>
      <c r="L105" s="64">
        <v>128.9</v>
      </c>
      <c r="M105" s="64">
        <v>127.6</v>
      </c>
      <c r="N105" s="64">
        <v>128.9</v>
      </c>
      <c r="O105" s="64">
        <v>130</v>
      </c>
      <c r="P105" s="64">
        <v>129.19999999999999</v>
      </c>
      <c r="Q105" s="64">
        <v>129.69999999999999</v>
      </c>
      <c r="R105" s="64">
        <v>127.2</v>
      </c>
      <c r="S105" s="64">
        <v>128.6</v>
      </c>
      <c r="T105" s="64">
        <v>128.69999999999999</v>
      </c>
      <c r="U105" s="64">
        <v>131.69999999999999</v>
      </c>
      <c r="V105" s="64">
        <v>131.19999999999999</v>
      </c>
      <c r="W105" s="64">
        <v>130</v>
      </c>
      <c r="X105" s="64">
        <v>132</v>
      </c>
      <c r="Y105" s="64">
        <v>128.5</v>
      </c>
      <c r="Z105" s="64">
        <v>127.8</v>
      </c>
      <c r="AA105" s="64">
        <v>128.6</v>
      </c>
      <c r="AB105" s="64">
        <v>133.1</v>
      </c>
      <c r="AC105" s="64">
        <v>133.1</v>
      </c>
      <c r="AD105" s="64">
        <v>128.9</v>
      </c>
      <c r="AE105" s="64">
        <v>128.4</v>
      </c>
      <c r="AF105" s="64">
        <v>131.1</v>
      </c>
      <c r="AG105" s="103"/>
      <c r="AH105" s="47">
        <f t="shared" si="13"/>
        <v>133.5</v>
      </c>
      <c r="AI105" s="48">
        <f t="shared" si="14"/>
        <v>127.2</v>
      </c>
    </row>
    <row r="106" spans="1:37" x14ac:dyDescent="0.25">
      <c r="A106" s="104" t="s">
        <v>114</v>
      </c>
      <c r="B106" s="105">
        <v>132.19999999999999</v>
      </c>
      <c r="C106" s="105">
        <v>134.80000000000001</v>
      </c>
      <c r="D106" s="105">
        <v>133.5</v>
      </c>
      <c r="E106" s="105">
        <v>132.9</v>
      </c>
      <c r="F106" s="105">
        <v>132.9</v>
      </c>
      <c r="G106" s="105">
        <v>132.9</v>
      </c>
      <c r="H106" s="105">
        <v>133.9</v>
      </c>
      <c r="I106" s="105">
        <v>133.5</v>
      </c>
      <c r="J106" s="105">
        <v>133.5</v>
      </c>
      <c r="K106" s="105">
        <v>133.5</v>
      </c>
      <c r="L106" s="105">
        <v>133.1</v>
      </c>
      <c r="M106" s="105">
        <v>133.4</v>
      </c>
      <c r="N106" s="105">
        <v>132.80000000000001</v>
      </c>
      <c r="O106" s="105">
        <v>133.30000000000001</v>
      </c>
      <c r="P106" s="105">
        <v>130.69999999999999</v>
      </c>
      <c r="Q106" s="105">
        <v>131.1</v>
      </c>
      <c r="R106" s="105">
        <v>133.5</v>
      </c>
      <c r="S106" s="105">
        <v>129.1</v>
      </c>
      <c r="T106" s="105">
        <v>130.69999999999999</v>
      </c>
      <c r="U106" s="105">
        <v>131.9</v>
      </c>
      <c r="V106" s="105">
        <v>133.1</v>
      </c>
      <c r="W106" s="105">
        <v>132.80000000000001</v>
      </c>
      <c r="X106" s="105">
        <v>132.5</v>
      </c>
      <c r="Y106" s="105">
        <v>130.4</v>
      </c>
      <c r="Z106" s="105">
        <v>129.6</v>
      </c>
      <c r="AA106" s="105">
        <v>132</v>
      </c>
      <c r="AB106" s="105">
        <v>131.69999999999999</v>
      </c>
      <c r="AC106" s="105">
        <v>131.69999999999999</v>
      </c>
      <c r="AD106" s="105" t="s">
        <v>281</v>
      </c>
      <c r="AE106" s="105">
        <v>132.4</v>
      </c>
      <c r="AF106" s="105">
        <v>129.80000000000001</v>
      </c>
      <c r="AG106" s="106"/>
      <c r="AH106" s="47">
        <f t="shared" si="13"/>
        <v>134.80000000000001</v>
      </c>
      <c r="AI106" s="48">
        <f t="shared" si="14"/>
        <v>129.1</v>
      </c>
    </row>
    <row r="107" spans="1:37" x14ac:dyDescent="0.25">
      <c r="A107" s="102" t="s">
        <v>115</v>
      </c>
      <c r="B107" s="64">
        <v>128.5</v>
      </c>
      <c r="C107" s="64">
        <v>130.9</v>
      </c>
      <c r="D107" s="64">
        <v>131.30000000000001</v>
      </c>
      <c r="E107" s="64">
        <v>133.6</v>
      </c>
      <c r="F107" s="64">
        <v>133.6</v>
      </c>
      <c r="G107" s="64">
        <v>133.6</v>
      </c>
      <c r="H107" s="64">
        <v>138</v>
      </c>
      <c r="I107" s="64">
        <v>133</v>
      </c>
      <c r="J107" s="64">
        <v>133</v>
      </c>
      <c r="K107" s="64">
        <v>133</v>
      </c>
      <c r="L107" s="64">
        <v>130.4</v>
      </c>
      <c r="M107" s="64">
        <v>131.4</v>
      </c>
      <c r="N107" s="64">
        <v>125.8</v>
      </c>
      <c r="O107" s="64">
        <v>127.7</v>
      </c>
      <c r="P107" s="64">
        <v>127.7</v>
      </c>
      <c r="Q107" s="64">
        <v>126.4</v>
      </c>
      <c r="R107" s="64">
        <v>125.1</v>
      </c>
      <c r="S107" s="64">
        <v>127.9</v>
      </c>
      <c r="T107" s="64">
        <v>126.8</v>
      </c>
      <c r="U107" s="64">
        <v>129.4</v>
      </c>
      <c r="V107" s="64">
        <v>125.9</v>
      </c>
      <c r="W107" s="64">
        <v>127.9</v>
      </c>
      <c r="X107" s="64">
        <v>129</v>
      </c>
      <c r="Y107" s="64">
        <v>129</v>
      </c>
      <c r="Z107" s="64">
        <v>131.5</v>
      </c>
      <c r="AA107" s="64">
        <v>129.69999999999999</v>
      </c>
      <c r="AB107" s="64">
        <v>130.69999999999999</v>
      </c>
      <c r="AC107" s="64">
        <v>130.69999999999999</v>
      </c>
      <c r="AD107" s="64">
        <v>123.4</v>
      </c>
      <c r="AE107" s="64">
        <v>130.6</v>
      </c>
      <c r="AF107" s="64">
        <v>125.5</v>
      </c>
      <c r="AG107" s="103"/>
      <c r="AH107" s="47">
        <f t="shared" si="13"/>
        <v>138</v>
      </c>
      <c r="AI107" s="48">
        <f t="shared" si="14"/>
        <v>123.4</v>
      </c>
    </row>
    <row r="108" spans="1:37" ht="15.75" thickBot="1" x14ac:dyDescent="0.3">
      <c r="A108" s="102" t="s">
        <v>116</v>
      </c>
      <c r="B108" s="91">
        <v>64.3</v>
      </c>
      <c r="C108" s="91">
        <v>65.099999999999994</v>
      </c>
      <c r="D108" s="91">
        <v>64.400000000000006</v>
      </c>
      <c r="E108" s="91">
        <v>64.7</v>
      </c>
      <c r="F108" s="91">
        <v>64.7</v>
      </c>
      <c r="G108" s="91">
        <v>64.7</v>
      </c>
      <c r="H108" s="91">
        <v>64.8</v>
      </c>
      <c r="I108" s="91">
        <v>63.3</v>
      </c>
      <c r="J108" s="91">
        <v>63.3</v>
      </c>
      <c r="K108" s="91">
        <v>63.3</v>
      </c>
      <c r="L108" s="91">
        <v>63.1</v>
      </c>
      <c r="M108" s="91">
        <v>62.3</v>
      </c>
      <c r="N108" s="91">
        <v>62.7</v>
      </c>
      <c r="O108" s="91">
        <v>62.2</v>
      </c>
      <c r="P108" s="91">
        <v>61.9</v>
      </c>
      <c r="Q108" s="91">
        <v>61.6</v>
      </c>
      <c r="R108" s="91">
        <v>63</v>
      </c>
      <c r="S108" s="91">
        <v>63.1</v>
      </c>
      <c r="T108" s="91">
        <v>64</v>
      </c>
      <c r="U108" s="91">
        <v>63.5</v>
      </c>
      <c r="V108" s="91">
        <v>63.5</v>
      </c>
      <c r="W108" s="91">
        <v>63.5</v>
      </c>
      <c r="X108" s="91">
        <v>64</v>
      </c>
      <c r="Y108" s="91">
        <v>63.5</v>
      </c>
      <c r="Z108" s="91">
        <v>63.9</v>
      </c>
      <c r="AA108" s="91">
        <v>63.9</v>
      </c>
      <c r="AB108" s="91">
        <v>64.8</v>
      </c>
      <c r="AC108" s="91">
        <v>64.8</v>
      </c>
      <c r="AD108" s="91">
        <v>64.400000000000006</v>
      </c>
      <c r="AE108" s="91">
        <v>64.5</v>
      </c>
      <c r="AF108" s="91">
        <v>64.7</v>
      </c>
      <c r="AG108" s="107"/>
      <c r="AH108" s="47">
        <f t="shared" si="13"/>
        <v>65.099999999999994</v>
      </c>
      <c r="AI108" s="48">
        <f t="shared" si="14"/>
        <v>61.6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7">SUM(B20,B26,B29:B30,B58,B60:B61,B63,B65,B111:B115,B138,B144,B150,B159,B161,B173,B180,B183:B184,B191,B193,B195,B199:B201,B203:B205,B210,B216:B217,B219:B221,B229,B234)</f>
        <v>-1041.4000000000001</v>
      </c>
      <c r="C110" s="110">
        <f t="shared" si="27"/>
        <v>68.639999999999986</v>
      </c>
      <c r="D110" s="110">
        <f t="shared" si="27"/>
        <v>57.739999999999988</v>
      </c>
      <c r="E110" s="110">
        <f t="shared" si="27"/>
        <v>51.840000000000032</v>
      </c>
      <c r="F110" s="110">
        <f t="shared" si="27"/>
        <v>51.84</v>
      </c>
      <c r="G110" s="110">
        <f t="shared" si="27"/>
        <v>67.239999999999981</v>
      </c>
      <c r="H110" s="110">
        <f t="shared" si="27"/>
        <v>96.74</v>
      </c>
      <c r="I110" s="110">
        <f t="shared" si="27"/>
        <v>143.23999999999998</v>
      </c>
      <c r="J110" s="110">
        <f t="shared" si="27"/>
        <v>181.83999999999995</v>
      </c>
      <c r="K110" s="110">
        <f t="shared" si="27"/>
        <v>194.23999999999998</v>
      </c>
      <c r="L110" s="110">
        <f t="shared" si="27"/>
        <v>218.03999999999996</v>
      </c>
      <c r="M110" s="110">
        <f t="shared" si="27"/>
        <v>217.33999999999997</v>
      </c>
      <c r="N110" s="110">
        <f t="shared" si="27"/>
        <v>212.04000000000002</v>
      </c>
      <c r="O110" s="110">
        <f t="shared" si="27"/>
        <v>241.64000000000001</v>
      </c>
      <c r="P110" s="110">
        <v>42</v>
      </c>
      <c r="Q110" s="110">
        <f t="shared" ref="Q110:AF110" si="28">SUM(Q20,Q26,Q29:Q30,Q58,Q60:Q61,Q63,Q65,Q111:Q115,Q138,Q144,Q150,Q159,Q161,Q173,Q180,Q183:Q184,Q191,Q193,Q195,Q199:Q201,Q203:Q205,Q210,Q216:Q217,Q219:Q221,Q229,Q234)</f>
        <v>227.09999999999997</v>
      </c>
      <c r="R110" s="110">
        <f t="shared" si="28"/>
        <v>202.70000000000002</v>
      </c>
      <c r="S110" s="110">
        <f t="shared" si="28"/>
        <v>192.8</v>
      </c>
      <c r="T110" s="110">
        <f t="shared" si="28"/>
        <v>197.70000000000002</v>
      </c>
      <c r="U110" s="110">
        <f t="shared" si="28"/>
        <v>218.79999999999998</v>
      </c>
      <c r="V110" s="110">
        <f t="shared" si="28"/>
        <v>227.70000000000002</v>
      </c>
      <c r="W110" s="110">
        <f t="shared" si="28"/>
        <v>191.59999999999997</v>
      </c>
      <c r="X110" s="110">
        <f t="shared" si="28"/>
        <v>220.29999999999998</v>
      </c>
      <c r="Y110" s="110">
        <f t="shared" si="28"/>
        <v>243.20000000000002</v>
      </c>
      <c r="Z110" s="110">
        <f t="shared" si="28"/>
        <v>277.39999999999998</v>
      </c>
      <c r="AA110" s="110">
        <f t="shared" si="28"/>
        <v>262.09999999999997</v>
      </c>
      <c r="AB110" s="110">
        <f t="shared" si="28"/>
        <v>219.79999999999998</v>
      </c>
      <c r="AC110" s="110">
        <f t="shared" si="28"/>
        <v>219.79999999999998</v>
      </c>
      <c r="AD110" s="110">
        <f t="shared" si="28"/>
        <v>170.70000000000002</v>
      </c>
      <c r="AE110" s="110">
        <f t="shared" si="28"/>
        <v>115</v>
      </c>
      <c r="AF110" s="110">
        <f t="shared" si="28"/>
        <v>67.699999999999989</v>
      </c>
      <c r="AG110" s="111"/>
      <c r="AH110" s="47">
        <f t="shared" si="13"/>
        <v>277.39999999999998</v>
      </c>
      <c r="AI110" s="48">
        <f t="shared" si="14"/>
        <v>-1041.4000000000001</v>
      </c>
    </row>
    <row r="111" spans="1:37" x14ac:dyDescent="0.25">
      <c r="A111" s="99" t="s">
        <v>119</v>
      </c>
      <c r="B111" s="112">
        <v>12.4</v>
      </c>
      <c r="C111" s="112">
        <v>9.6</v>
      </c>
      <c r="D111" s="112">
        <v>11.6</v>
      </c>
      <c r="E111" s="112">
        <v>10.8</v>
      </c>
      <c r="F111" s="112">
        <v>10.8</v>
      </c>
      <c r="G111" s="112">
        <v>14.4</v>
      </c>
      <c r="H111" s="112">
        <v>19.600000000000001</v>
      </c>
      <c r="I111" s="112">
        <v>32</v>
      </c>
      <c r="J111" s="112">
        <v>41</v>
      </c>
      <c r="K111" s="112">
        <v>42</v>
      </c>
      <c r="L111" s="112">
        <v>43.3</v>
      </c>
      <c r="M111" s="112">
        <v>44.8</v>
      </c>
      <c r="N111" s="112">
        <v>41.3</v>
      </c>
      <c r="O111" s="112">
        <v>43.9</v>
      </c>
      <c r="P111" s="112">
        <v>43.9</v>
      </c>
      <c r="Q111" s="112">
        <v>46.3</v>
      </c>
      <c r="R111" s="112">
        <v>40.200000000000003</v>
      </c>
      <c r="S111" s="112">
        <v>41.5</v>
      </c>
      <c r="T111" s="112">
        <v>38.5</v>
      </c>
      <c r="U111" s="112">
        <v>45.9</v>
      </c>
      <c r="V111" s="112">
        <v>47.9</v>
      </c>
      <c r="W111" s="112">
        <v>43.6</v>
      </c>
      <c r="X111" s="112">
        <v>42</v>
      </c>
      <c r="Y111" s="112">
        <v>45.6</v>
      </c>
      <c r="Z111" s="112">
        <v>45.5</v>
      </c>
      <c r="AA111" s="112">
        <v>46.6</v>
      </c>
      <c r="AB111" s="112">
        <v>43.8</v>
      </c>
      <c r="AC111" s="112">
        <v>43.8</v>
      </c>
      <c r="AD111" s="112">
        <v>39.4</v>
      </c>
      <c r="AE111" s="112">
        <v>28</v>
      </c>
      <c r="AF111" s="112">
        <v>16</v>
      </c>
      <c r="AG111" s="113">
        <v>75</v>
      </c>
      <c r="AH111" s="47">
        <f t="shared" si="13"/>
        <v>47.9</v>
      </c>
      <c r="AI111" s="48">
        <f t="shared" si="14"/>
        <v>9.6</v>
      </c>
    </row>
    <row r="112" spans="1:37" x14ac:dyDescent="0.25">
      <c r="A112" s="102" t="s">
        <v>120</v>
      </c>
      <c r="B112" s="114">
        <v>18.8</v>
      </c>
      <c r="C112" s="114">
        <v>16.2</v>
      </c>
      <c r="D112" s="114">
        <v>19</v>
      </c>
      <c r="E112" s="114">
        <v>18.399999999999999</v>
      </c>
      <c r="F112" s="114">
        <v>18.399999999999999</v>
      </c>
      <c r="G112" s="114">
        <v>22.7</v>
      </c>
      <c r="H112" s="114">
        <v>30.9</v>
      </c>
      <c r="I112" s="114">
        <v>50</v>
      </c>
      <c r="J112" s="114">
        <v>51</v>
      </c>
      <c r="K112" s="114">
        <v>54.6</v>
      </c>
      <c r="L112" s="114">
        <v>62.4</v>
      </c>
      <c r="M112" s="114">
        <v>63</v>
      </c>
      <c r="N112" s="114">
        <v>58.1</v>
      </c>
      <c r="O112" s="114">
        <v>62.5</v>
      </c>
      <c r="P112" s="114">
        <v>62.5</v>
      </c>
      <c r="Q112" s="114">
        <v>68.099999999999994</v>
      </c>
      <c r="R112" s="114">
        <v>59.2</v>
      </c>
      <c r="S112" s="114">
        <v>59.7</v>
      </c>
      <c r="T112" s="114">
        <v>53.9</v>
      </c>
      <c r="U112" s="114">
        <v>65.2</v>
      </c>
      <c r="V112" s="114">
        <v>67.7</v>
      </c>
      <c r="W112" s="114">
        <v>60.8</v>
      </c>
      <c r="X112" s="114">
        <v>58.6</v>
      </c>
      <c r="Y112" s="114">
        <v>63.1</v>
      </c>
      <c r="Z112" s="114">
        <v>64.599999999999994</v>
      </c>
      <c r="AA112" s="114">
        <v>66.2</v>
      </c>
      <c r="AB112" s="114">
        <v>64</v>
      </c>
      <c r="AC112" s="114">
        <v>64</v>
      </c>
      <c r="AD112" s="114">
        <v>58.8</v>
      </c>
      <c r="AE112" s="114">
        <v>38.700000000000003</v>
      </c>
      <c r="AF112" s="114">
        <v>24.7</v>
      </c>
      <c r="AG112" s="113">
        <v>240</v>
      </c>
      <c r="AH112" s="47">
        <f t="shared" si="13"/>
        <v>68.099999999999994</v>
      </c>
      <c r="AI112" s="48">
        <f t="shared" si="14"/>
        <v>16.2</v>
      </c>
    </row>
    <row r="113" spans="1:37" x14ac:dyDescent="0.25">
      <c r="A113" s="102" t="s">
        <v>121</v>
      </c>
      <c r="B113" s="114">
        <v>-1253</v>
      </c>
      <c r="C113" s="114">
        <v>-136</v>
      </c>
      <c r="D113" s="114">
        <v>-142</v>
      </c>
      <c r="E113" s="114">
        <f>-71.8-78.7</f>
        <v>-150.5</v>
      </c>
      <c r="F113" s="114">
        <f>-71.8-78.7</f>
        <v>-150.5</v>
      </c>
      <c r="G113" s="114">
        <v>-143</v>
      </c>
      <c r="H113" s="114">
        <v>-145.6</v>
      </c>
      <c r="I113" s="114">
        <v>-136</v>
      </c>
      <c r="J113" s="114">
        <v>-123</v>
      </c>
      <c r="K113" s="114">
        <v>-124.5</v>
      </c>
      <c r="L113" s="114">
        <v>-125</v>
      </c>
      <c r="M113" s="114">
        <f>-59-62</f>
        <v>-121</v>
      </c>
      <c r="N113" s="114">
        <f>-58-62</f>
        <v>-120</v>
      </c>
      <c r="O113" s="114">
        <f>-53-58</f>
        <v>-111</v>
      </c>
      <c r="P113" s="114">
        <f>-53-58</f>
        <v>-111</v>
      </c>
      <c r="Q113" s="114">
        <f>-66-69</f>
        <v>-135</v>
      </c>
      <c r="R113" s="114">
        <f>-61-66</f>
        <v>-127</v>
      </c>
      <c r="S113" s="114">
        <v>-127.5</v>
      </c>
      <c r="T113" s="114">
        <v>-110.4</v>
      </c>
      <c r="U113" s="114">
        <v>-106.9</v>
      </c>
      <c r="V113" s="114">
        <v>-105</v>
      </c>
      <c r="W113" s="114">
        <v>-103.5</v>
      </c>
      <c r="X113" s="114">
        <v>-92.9</v>
      </c>
      <c r="Y113" s="114">
        <v>-78.900000000000006</v>
      </c>
      <c r="Z113" s="114">
        <v>-76</v>
      </c>
      <c r="AA113" s="114">
        <v>-88.9</v>
      </c>
      <c r="AB113" s="114">
        <v>-114.5</v>
      </c>
      <c r="AC113" s="114">
        <v>-114.5</v>
      </c>
      <c r="AD113" s="114">
        <v>-130</v>
      </c>
      <c r="AE113" s="114">
        <v>-140</v>
      </c>
      <c r="AF113" s="114">
        <v>-148</v>
      </c>
      <c r="AG113" s="113">
        <v>240</v>
      </c>
      <c r="AH113" s="47">
        <f t="shared" si="13"/>
        <v>-76</v>
      </c>
      <c r="AI113" s="48">
        <f t="shared" si="14"/>
        <v>-1253</v>
      </c>
    </row>
    <row r="114" spans="1:37" x14ac:dyDescent="0.25">
      <c r="A114" s="102" t="s">
        <v>122</v>
      </c>
      <c r="B114" s="114">
        <v>-5.8</v>
      </c>
      <c r="C114" s="114">
        <v>-8.3000000000000007</v>
      </c>
      <c r="D114" s="114">
        <v>-8.1999999999999993</v>
      </c>
      <c r="E114" s="114">
        <v>-9.4</v>
      </c>
      <c r="F114" s="114">
        <v>-9.4</v>
      </c>
      <c r="G114" s="114">
        <v>-9.3000000000000007</v>
      </c>
      <c r="H114" s="114">
        <v>-4.5999999999999996</v>
      </c>
      <c r="I114" s="114">
        <v>-5</v>
      </c>
      <c r="J114" s="114">
        <v>3.6</v>
      </c>
      <c r="K114" s="114">
        <v>3.3</v>
      </c>
      <c r="L114" s="114">
        <v>3.8</v>
      </c>
      <c r="M114" s="114">
        <v>3.9</v>
      </c>
      <c r="N114" s="114">
        <v>-1.5</v>
      </c>
      <c r="O114" s="114">
        <v>-0.2</v>
      </c>
      <c r="P114" s="114">
        <v>-0.2</v>
      </c>
      <c r="Q114" s="114">
        <v>1.9</v>
      </c>
      <c r="R114" s="114">
        <v>3.8</v>
      </c>
      <c r="S114" s="114">
        <v>5.0999999999999996</v>
      </c>
      <c r="T114" s="114">
        <v>3</v>
      </c>
      <c r="U114" s="114">
        <v>3</v>
      </c>
      <c r="V114" s="114">
        <v>7.8</v>
      </c>
      <c r="W114" s="114">
        <v>9.1999999999999993</v>
      </c>
      <c r="X114" s="114">
        <v>10.1</v>
      </c>
      <c r="Y114" s="114">
        <v>11</v>
      </c>
      <c r="Z114" s="114">
        <v>31.1</v>
      </c>
      <c r="AA114" s="114">
        <v>26.6</v>
      </c>
      <c r="AB114" s="114">
        <v>14.2</v>
      </c>
      <c r="AC114" s="114">
        <v>14.2</v>
      </c>
      <c r="AD114" s="114">
        <v>0.5</v>
      </c>
      <c r="AE114" s="114">
        <v>-3.7</v>
      </c>
      <c r="AF114" s="114">
        <v>-12</v>
      </c>
      <c r="AG114" s="113">
        <v>60</v>
      </c>
      <c r="AH114" s="47">
        <f t="shared" si="13"/>
        <v>31.1</v>
      </c>
      <c r="AI114" s="48">
        <f t="shared" si="14"/>
        <v>-12</v>
      </c>
    </row>
    <row r="115" spans="1:37" x14ac:dyDescent="0.25">
      <c r="A115" s="115" t="s">
        <v>123</v>
      </c>
      <c r="B115" s="116">
        <v>26.3</v>
      </c>
      <c r="C115" s="116">
        <v>26.3</v>
      </c>
      <c r="D115" s="116">
        <v>26.3</v>
      </c>
      <c r="E115" s="116">
        <v>21.3</v>
      </c>
      <c r="F115" s="116">
        <v>21.3</v>
      </c>
      <c r="G115" s="116">
        <v>21.2</v>
      </c>
      <c r="H115" s="116">
        <v>30.2</v>
      </c>
      <c r="I115" s="116">
        <v>36</v>
      </c>
      <c r="J115" s="116">
        <v>43</v>
      </c>
      <c r="K115" s="116">
        <v>42.6</v>
      </c>
      <c r="L115" s="116">
        <v>42.3</v>
      </c>
      <c r="M115" s="116">
        <v>42.3</v>
      </c>
      <c r="N115" s="116">
        <v>45.3</v>
      </c>
      <c r="O115" s="116">
        <v>45.6</v>
      </c>
      <c r="P115" s="116">
        <v>45.6</v>
      </c>
      <c r="Q115" s="116">
        <v>45.9</v>
      </c>
      <c r="R115" s="116">
        <v>45.9</v>
      </c>
      <c r="S115" s="116">
        <v>39.700000000000003</v>
      </c>
      <c r="T115" s="116">
        <v>26.3</v>
      </c>
      <c r="U115" s="116">
        <v>26.3</v>
      </c>
      <c r="V115" s="116">
        <v>26.4</v>
      </c>
      <c r="W115" s="116">
        <v>16.5</v>
      </c>
      <c r="X115" s="116">
        <v>26.4</v>
      </c>
      <c r="Y115" s="116">
        <v>26.3</v>
      </c>
      <c r="Z115" s="116">
        <v>26.4</v>
      </c>
      <c r="AA115" s="116">
        <v>26.4</v>
      </c>
      <c r="AB115" s="116">
        <v>26.4</v>
      </c>
      <c r="AC115" s="116">
        <v>26.4</v>
      </c>
      <c r="AD115" s="116">
        <v>26.4</v>
      </c>
      <c r="AE115" s="116">
        <v>26.4</v>
      </c>
      <c r="AF115" s="116">
        <v>26.4</v>
      </c>
      <c r="AG115" s="117">
        <v>120</v>
      </c>
      <c r="AH115" s="47">
        <f t="shared" si="13"/>
        <v>45.9</v>
      </c>
      <c r="AI115" s="48">
        <f t="shared" si="14"/>
        <v>16.5</v>
      </c>
    </row>
    <row r="116" spans="1:37" x14ac:dyDescent="0.25">
      <c r="A116" s="115" t="s">
        <v>124</v>
      </c>
      <c r="B116" s="116">
        <v>54.2</v>
      </c>
      <c r="C116" s="116">
        <v>47.2</v>
      </c>
      <c r="D116" s="116">
        <v>48.6</v>
      </c>
      <c r="E116" s="116">
        <v>39.6</v>
      </c>
      <c r="F116" s="116">
        <v>39.6</v>
      </c>
      <c r="G116" s="116">
        <v>41.6</v>
      </c>
      <c r="H116" s="116">
        <v>27</v>
      </c>
      <c r="I116" s="116">
        <v>24</v>
      </c>
      <c r="J116" s="116">
        <v>26</v>
      </c>
      <c r="K116" s="116">
        <v>25</v>
      </c>
      <c r="L116" s="116">
        <v>26</v>
      </c>
      <c r="M116" s="116">
        <v>33.4</v>
      </c>
      <c r="N116" s="116">
        <v>36.5</v>
      </c>
      <c r="O116" s="116">
        <v>32.4</v>
      </c>
      <c r="P116" s="116">
        <v>32.4</v>
      </c>
      <c r="Q116" s="116">
        <v>25.3</v>
      </c>
      <c r="R116" s="116">
        <v>22.4</v>
      </c>
      <c r="S116" s="116">
        <v>20.9</v>
      </c>
      <c r="T116" s="116">
        <v>39.700000000000003</v>
      </c>
      <c r="U116" s="116">
        <v>39.700000000000003</v>
      </c>
      <c r="V116" s="116">
        <v>25</v>
      </c>
      <c r="W116" s="116">
        <v>17.399999999999999</v>
      </c>
      <c r="X116" s="116">
        <v>20.8</v>
      </c>
      <c r="Y116" s="116">
        <v>34.4</v>
      </c>
      <c r="Z116" s="116">
        <v>24.9</v>
      </c>
      <c r="AA116" s="116">
        <v>28.6</v>
      </c>
      <c r="AB116" s="116">
        <v>23.1</v>
      </c>
      <c r="AC116" s="116">
        <v>23.1</v>
      </c>
      <c r="AD116" s="116">
        <v>19.600000000000001</v>
      </c>
      <c r="AE116" s="116">
        <v>32.1</v>
      </c>
      <c r="AF116" s="116">
        <v>36</v>
      </c>
      <c r="AG116" s="117"/>
      <c r="AH116" s="47">
        <f t="shared" si="13"/>
        <v>54.2</v>
      </c>
      <c r="AI116" s="48">
        <f t="shared" si="14"/>
        <v>17.399999999999999</v>
      </c>
    </row>
    <row r="117" spans="1:37" x14ac:dyDescent="0.25">
      <c r="A117" s="115" t="s">
        <v>125</v>
      </c>
      <c r="B117" s="116">
        <v>2.6</v>
      </c>
      <c r="C117" s="116">
        <v>-4.0999999999999996</v>
      </c>
      <c r="D117" s="116">
        <v>0</v>
      </c>
      <c r="E117" s="116">
        <v>3.3</v>
      </c>
      <c r="F117" s="116">
        <v>3.3</v>
      </c>
      <c r="G117" s="116">
        <v>-8.6</v>
      </c>
      <c r="H117" s="116">
        <v>-4.3</v>
      </c>
      <c r="I117" s="116">
        <v>5</v>
      </c>
      <c r="J117" s="116">
        <v>6.3</v>
      </c>
      <c r="K117" s="116">
        <v>11.1</v>
      </c>
      <c r="L117" s="116">
        <v>-7.9</v>
      </c>
      <c r="M117" s="116">
        <v>-24.5</v>
      </c>
      <c r="N117" s="116">
        <v>-15.3</v>
      </c>
      <c r="O117" s="116">
        <v>-15.8</v>
      </c>
      <c r="P117" s="116">
        <v>-19.3</v>
      </c>
      <c r="Q117" s="116">
        <v>-19.3</v>
      </c>
      <c r="R117" s="116">
        <v>-14.9</v>
      </c>
      <c r="S117" s="116">
        <v>-19.899999999999999</v>
      </c>
      <c r="T117" s="116">
        <v>-17.899999999999999</v>
      </c>
      <c r="U117" s="116">
        <v>-17.899999999999999</v>
      </c>
      <c r="V117" s="116">
        <v>-24.1</v>
      </c>
      <c r="W117" s="116">
        <v>-15.2</v>
      </c>
      <c r="X117" s="116">
        <v>14.6</v>
      </c>
      <c r="Y117" s="116">
        <v>-11.8</v>
      </c>
      <c r="Z117" s="116">
        <v>0</v>
      </c>
      <c r="AA117" s="116">
        <v>-8.1999999999999993</v>
      </c>
      <c r="AB117" s="116">
        <v>-8.1999999999999993</v>
      </c>
      <c r="AC117" s="116">
        <v>-8.1999999999999993</v>
      </c>
      <c r="AD117" s="116">
        <v>1.3</v>
      </c>
      <c r="AE117" s="116">
        <v>-8.5</v>
      </c>
      <c r="AF117" s="116">
        <v>-3.8</v>
      </c>
      <c r="AG117" s="118"/>
      <c r="AH117" s="47">
        <f t="shared" si="13"/>
        <v>14.6</v>
      </c>
      <c r="AI117" s="48">
        <f t="shared" si="14"/>
        <v>-24.5</v>
      </c>
    </row>
    <row r="118" spans="1:37" x14ac:dyDescent="0.25">
      <c r="A118" s="119" t="s">
        <v>126</v>
      </c>
      <c r="B118" s="105">
        <v>39.299999999999997</v>
      </c>
      <c r="C118" s="105">
        <v>40.299999999999997</v>
      </c>
      <c r="D118" s="105">
        <v>41.1</v>
      </c>
      <c r="E118" s="105">
        <v>45.3</v>
      </c>
      <c r="F118" s="105">
        <v>45.3</v>
      </c>
      <c r="G118" s="105">
        <v>47</v>
      </c>
      <c r="H118" s="105">
        <v>52.8</v>
      </c>
      <c r="I118" s="105">
        <v>49</v>
      </c>
      <c r="J118" s="105">
        <v>48</v>
      </c>
      <c r="K118" s="105">
        <v>47.1</v>
      </c>
      <c r="L118" s="105">
        <v>41.4</v>
      </c>
      <c r="M118" s="105">
        <v>35.1</v>
      </c>
      <c r="N118" s="105">
        <v>33.700000000000003</v>
      </c>
      <c r="O118" s="105">
        <v>29.2</v>
      </c>
      <c r="P118" s="105">
        <v>24</v>
      </c>
      <c r="Q118" s="105">
        <v>24</v>
      </c>
      <c r="R118" s="105">
        <v>23.7</v>
      </c>
      <c r="S118" s="105">
        <v>21.2</v>
      </c>
      <c r="T118" s="105">
        <v>20.8</v>
      </c>
      <c r="U118" s="105">
        <v>20.8</v>
      </c>
      <c r="V118" s="105">
        <v>28.4</v>
      </c>
      <c r="W118" s="105">
        <v>14.7</v>
      </c>
      <c r="X118" s="105">
        <v>28.6</v>
      </c>
      <c r="Y118" s="105">
        <v>17</v>
      </c>
      <c r="Z118" s="105">
        <v>15</v>
      </c>
      <c r="AA118" s="105">
        <v>16.8</v>
      </c>
      <c r="AB118" s="105">
        <v>22.2</v>
      </c>
      <c r="AC118" s="105">
        <v>22.2</v>
      </c>
      <c r="AD118" s="105">
        <v>25.5</v>
      </c>
      <c r="AE118" s="105">
        <v>26.9</v>
      </c>
      <c r="AF118" s="105">
        <v>34.799999999999997</v>
      </c>
      <c r="AG118" s="118"/>
      <c r="AH118" s="47">
        <f t="shared" si="13"/>
        <v>52.8</v>
      </c>
      <c r="AI118" s="48">
        <f t="shared" si="14"/>
        <v>14.7</v>
      </c>
    </row>
    <row r="119" spans="1:37" x14ac:dyDescent="0.25">
      <c r="A119" s="120" t="s">
        <v>127</v>
      </c>
      <c r="B119" s="105">
        <v>93</v>
      </c>
      <c r="C119" s="105">
        <v>89.4</v>
      </c>
      <c r="D119" s="105">
        <v>89.5</v>
      </c>
      <c r="E119" s="105">
        <v>103</v>
      </c>
      <c r="F119" s="105">
        <v>103</v>
      </c>
      <c r="G119" s="105">
        <v>97</v>
      </c>
      <c r="H119" s="105">
        <v>109</v>
      </c>
      <c r="I119" s="105">
        <v>100</v>
      </c>
      <c r="J119" s="105">
        <v>98</v>
      </c>
      <c r="K119" s="105">
        <v>96</v>
      </c>
      <c r="L119" s="105">
        <v>96.5</v>
      </c>
      <c r="M119" s="105">
        <v>96.5</v>
      </c>
      <c r="N119" s="105">
        <v>86</v>
      </c>
      <c r="O119" s="105">
        <v>89</v>
      </c>
      <c r="P119" s="105">
        <v>101.3</v>
      </c>
      <c r="Q119" s="105">
        <v>101.3</v>
      </c>
      <c r="R119" s="105">
        <v>97.4</v>
      </c>
      <c r="S119" s="105">
        <v>71.5</v>
      </c>
      <c r="T119" s="105">
        <v>85.5</v>
      </c>
      <c r="U119" s="105">
        <v>85.5</v>
      </c>
      <c r="V119" s="105">
        <v>83.1</v>
      </c>
      <c r="W119" s="105">
        <v>81.599999999999994</v>
      </c>
      <c r="X119" s="105">
        <v>71.8</v>
      </c>
      <c r="Y119" s="105">
        <v>66.8</v>
      </c>
      <c r="Z119" s="105">
        <v>77</v>
      </c>
      <c r="AA119" s="105">
        <v>86.9</v>
      </c>
      <c r="AB119" s="105">
        <v>86</v>
      </c>
      <c r="AC119" s="105">
        <v>86</v>
      </c>
      <c r="AD119" s="105">
        <v>91.5</v>
      </c>
      <c r="AE119" s="105">
        <v>90</v>
      </c>
      <c r="AF119" s="105">
        <v>93.3</v>
      </c>
      <c r="AG119" s="118"/>
      <c r="AH119" s="47">
        <f t="shared" si="13"/>
        <v>109</v>
      </c>
      <c r="AI119" s="48">
        <f t="shared" si="14"/>
        <v>66.8</v>
      </c>
    </row>
    <row r="120" spans="1:37" ht="15.75" thickBot="1" x14ac:dyDescent="0.3">
      <c r="A120" s="119" t="s">
        <v>128</v>
      </c>
      <c r="B120" s="105">
        <v>33.200000000000003</v>
      </c>
      <c r="C120" s="105">
        <v>31.3</v>
      </c>
      <c r="D120" s="105">
        <v>30</v>
      </c>
      <c r="E120" s="105">
        <v>25.6</v>
      </c>
      <c r="F120" s="105">
        <v>25.6</v>
      </c>
      <c r="G120" s="105">
        <v>7.6</v>
      </c>
      <c r="H120" s="105">
        <v>24.1</v>
      </c>
      <c r="I120" s="105">
        <v>20</v>
      </c>
      <c r="J120" s="105">
        <v>19.899999999999999</v>
      </c>
      <c r="K120" s="105">
        <v>14.8</v>
      </c>
      <c r="L120" s="105">
        <v>17.8</v>
      </c>
      <c r="M120" s="105">
        <v>16</v>
      </c>
      <c r="N120" s="105">
        <v>14.9</v>
      </c>
      <c r="O120" s="105">
        <v>31.7</v>
      </c>
      <c r="P120" s="105">
        <v>43.8</v>
      </c>
      <c r="Q120" s="105">
        <v>43.8</v>
      </c>
      <c r="R120" s="105">
        <v>32.700000000000003</v>
      </c>
      <c r="S120" s="105">
        <v>37.299999999999997</v>
      </c>
      <c r="T120" s="105">
        <v>38.5</v>
      </c>
      <c r="U120" s="105">
        <v>38.5</v>
      </c>
      <c r="V120" s="105">
        <v>21.6</v>
      </c>
      <c r="W120" s="105">
        <v>20.2</v>
      </c>
      <c r="X120" s="105">
        <v>18.2</v>
      </c>
      <c r="Y120" s="105">
        <v>31.6</v>
      </c>
      <c r="Z120" s="105">
        <v>44.4</v>
      </c>
      <c r="AA120" s="105">
        <v>42.7</v>
      </c>
      <c r="AB120" s="105">
        <v>44</v>
      </c>
      <c r="AC120" s="105">
        <v>44</v>
      </c>
      <c r="AD120" s="105">
        <v>50.2</v>
      </c>
      <c r="AE120" s="105">
        <v>47.3</v>
      </c>
      <c r="AF120" s="105">
        <v>48.7</v>
      </c>
      <c r="AG120" s="118"/>
      <c r="AH120" s="47">
        <f t="shared" si="13"/>
        <v>50.2</v>
      </c>
      <c r="AI120" s="48">
        <f t="shared" si="14"/>
        <v>7.6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9">SUM(B122:B226)</f>
        <v>0</v>
      </c>
      <c r="C227" s="136">
        <f t="shared" si="29"/>
        <v>0</v>
      </c>
      <c r="D227" s="136">
        <f t="shared" si="29"/>
        <v>0</v>
      </c>
      <c r="E227" s="136">
        <f t="shared" si="29"/>
        <v>0</v>
      </c>
      <c r="F227" s="136">
        <f t="shared" si="29"/>
        <v>0</v>
      </c>
      <c r="G227" s="136">
        <f t="shared" si="29"/>
        <v>0</v>
      </c>
      <c r="H227" s="136">
        <f t="shared" si="29"/>
        <v>0</v>
      </c>
      <c r="I227" s="136">
        <f t="shared" si="29"/>
        <v>0</v>
      </c>
      <c r="J227" s="136">
        <f t="shared" si="29"/>
        <v>0</v>
      </c>
      <c r="K227" s="136">
        <f t="shared" si="29"/>
        <v>0</v>
      </c>
      <c r="L227" s="136">
        <f t="shared" si="29"/>
        <v>0</v>
      </c>
      <c r="M227" s="136">
        <f t="shared" si="29"/>
        <v>0</v>
      </c>
      <c r="N227" s="136">
        <f t="shared" si="29"/>
        <v>0</v>
      </c>
      <c r="O227" s="136">
        <f t="shared" si="29"/>
        <v>0</v>
      </c>
      <c r="P227" s="136">
        <f t="shared" si="29"/>
        <v>0</v>
      </c>
      <c r="Q227" s="136">
        <f t="shared" si="29"/>
        <v>0</v>
      </c>
      <c r="R227" s="136">
        <f t="shared" si="29"/>
        <v>0</v>
      </c>
      <c r="S227" s="136">
        <f>SUM(S122:S226)</f>
        <v>0</v>
      </c>
      <c r="T227" s="136">
        <f>SUM(T122:T226)</f>
        <v>0</v>
      </c>
      <c r="U227" s="136">
        <f t="shared" si="29"/>
        <v>0</v>
      </c>
      <c r="V227" s="136">
        <f>SUM(V122:V226)</f>
        <v>0</v>
      </c>
      <c r="W227" s="136">
        <f>SUM(W122:W226)</f>
        <v>0</v>
      </c>
      <c r="X227" s="136">
        <f>SUM(X122:X226)</f>
        <v>0</v>
      </c>
      <c r="Y227" s="136">
        <f>SUM(Y122:Y226)</f>
        <v>0</v>
      </c>
      <c r="Z227" s="136">
        <f t="shared" si="29"/>
        <v>0</v>
      </c>
      <c r="AA227" s="136">
        <f t="shared" si="29"/>
        <v>0</v>
      </c>
      <c r="AB227" s="136">
        <f t="shared" si="29"/>
        <v>0</v>
      </c>
      <c r="AC227" s="136">
        <f t="shared" si="29"/>
        <v>0</v>
      </c>
      <c r="AD227" s="136">
        <f t="shared" si="29"/>
        <v>0</v>
      </c>
      <c r="AE227" s="136">
        <f t="shared" si="29"/>
        <v>0</v>
      </c>
      <c r="AF227" s="137">
        <f t="shared" si="29"/>
        <v>0</v>
      </c>
      <c r="AG227" s="138">
        <f t="shared" si="2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0">AF229</f>
        <v>0</v>
      </c>
      <c r="C229" s="140">
        <v>0.3</v>
      </c>
      <c r="D229" s="140">
        <f t="shared" ref="D229:P234" si="31">C229</f>
        <v>0.3</v>
      </c>
      <c r="E229" s="140">
        <f t="shared" si="31"/>
        <v>0.3</v>
      </c>
      <c r="F229" s="140">
        <f t="shared" si="31"/>
        <v>0.3</v>
      </c>
      <c r="G229" s="140">
        <f t="shared" si="31"/>
        <v>0.3</v>
      </c>
      <c r="H229" s="140">
        <f t="shared" si="31"/>
        <v>0.3</v>
      </c>
      <c r="I229" s="140">
        <f t="shared" si="31"/>
        <v>0.3</v>
      </c>
      <c r="J229" s="140">
        <f t="shared" si="31"/>
        <v>0.3</v>
      </c>
      <c r="K229" s="140">
        <f t="shared" si="31"/>
        <v>0.3</v>
      </c>
      <c r="L229" s="140">
        <f t="shared" si="31"/>
        <v>0.3</v>
      </c>
      <c r="M229" s="140">
        <f t="shared" si="31"/>
        <v>0.3</v>
      </c>
      <c r="N229" s="140">
        <f t="shared" si="31"/>
        <v>0.3</v>
      </c>
      <c r="O229" s="140">
        <f t="shared" si="31"/>
        <v>0.3</v>
      </c>
      <c r="P229" s="140">
        <f t="shared" si="3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0"/>
        <v>0</v>
      </c>
      <c r="C230" s="128">
        <v>0.4</v>
      </c>
      <c r="D230" s="128">
        <f t="shared" si="31"/>
        <v>0.4</v>
      </c>
      <c r="E230" s="128">
        <f t="shared" si="31"/>
        <v>0.4</v>
      </c>
      <c r="F230" s="128">
        <f t="shared" si="31"/>
        <v>0.4</v>
      </c>
      <c r="G230" s="128">
        <f t="shared" si="31"/>
        <v>0.4</v>
      </c>
      <c r="H230" s="128">
        <f t="shared" si="31"/>
        <v>0.4</v>
      </c>
      <c r="I230" s="128">
        <f t="shared" si="31"/>
        <v>0.4</v>
      </c>
      <c r="J230" s="128">
        <f t="shared" si="31"/>
        <v>0.4</v>
      </c>
      <c r="K230" s="128">
        <f t="shared" si="31"/>
        <v>0.4</v>
      </c>
      <c r="L230" s="128">
        <f t="shared" si="31"/>
        <v>0.4</v>
      </c>
      <c r="M230" s="128">
        <f t="shared" si="31"/>
        <v>0.4</v>
      </c>
      <c r="N230" s="128">
        <f t="shared" si="31"/>
        <v>0.4</v>
      </c>
      <c r="O230" s="128">
        <f t="shared" si="31"/>
        <v>0.4</v>
      </c>
      <c r="P230" s="128">
        <f t="shared" si="3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0"/>
        <v>0</v>
      </c>
      <c r="C231" s="128">
        <v>1.5</v>
      </c>
      <c r="D231" s="128">
        <f t="shared" si="31"/>
        <v>1.5</v>
      </c>
      <c r="E231" s="128">
        <f t="shared" si="31"/>
        <v>1.5</v>
      </c>
      <c r="F231" s="128">
        <f t="shared" si="31"/>
        <v>1.5</v>
      </c>
      <c r="G231" s="128">
        <f t="shared" si="31"/>
        <v>1.5</v>
      </c>
      <c r="H231" s="128">
        <f t="shared" si="3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1"/>
        <v>123.21900000000009</v>
      </c>
      <c r="K231" s="128">
        <f t="shared" ca="1" si="31"/>
        <v>123.21900000000009</v>
      </c>
      <c r="L231" s="128">
        <f t="shared" ca="1" si="31"/>
        <v>123.21900000000009</v>
      </c>
      <c r="M231" s="128">
        <f t="shared" ca="1" si="31"/>
        <v>119.19900000000008</v>
      </c>
      <c r="N231" s="128">
        <f t="shared" ca="1" si="31"/>
        <v>119.19900000000008</v>
      </c>
      <c r="O231" s="128">
        <f t="shared" ca="1" si="31"/>
        <v>119.19900000000008</v>
      </c>
      <c r="P231" s="128">
        <f t="shared" ca="1" si="3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0"/>
        <v>0</v>
      </c>
      <c r="C232" s="128">
        <v>0.3</v>
      </c>
      <c r="D232" s="128">
        <f t="shared" si="31"/>
        <v>0.3</v>
      </c>
      <c r="E232" s="128">
        <f t="shared" si="31"/>
        <v>0.3</v>
      </c>
      <c r="F232" s="128">
        <f t="shared" si="31"/>
        <v>0.3</v>
      </c>
      <c r="G232" s="128">
        <f t="shared" si="31"/>
        <v>0.3</v>
      </c>
      <c r="H232" s="128">
        <f t="shared" si="31"/>
        <v>0.3</v>
      </c>
      <c r="I232" s="128">
        <f t="shared" si="31"/>
        <v>0.3</v>
      </c>
      <c r="J232" s="128">
        <f t="shared" si="31"/>
        <v>0.3</v>
      </c>
      <c r="K232" s="128">
        <f t="shared" si="31"/>
        <v>0.3</v>
      </c>
      <c r="L232" s="128">
        <f t="shared" si="31"/>
        <v>0.3</v>
      </c>
      <c r="M232" s="128">
        <f t="shared" si="31"/>
        <v>0.3</v>
      </c>
      <c r="N232" s="128">
        <f t="shared" si="31"/>
        <v>0.3</v>
      </c>
      <c r="O232" s="128">
        <f t="shared" si="31"/>
        <v>0.3</v>
      </c>
      <c r="P232" s="128">
        <f t="shared" si="3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0"/>
        <v>0</v>
      </c>
      <c r="C233" s="128">
        <v>0.4</v>
      </c>
      <c r="D233" s="128">
        <f t="shared" si="31"/>
        <v>0.4</v>
      </c>
      <c r="E233" s="128">
        <f t="shared" si="31"/>
        <v>0.4</v>
      </c>
      <c r="F233" s="128">
        <f t="shared" si="31"/>
        <v>0.4</v>
      </c>
      <c r="G233" s="128">
        <f t="shared" si="31"/>
        <v>0.4</v>
      </c>
      <c r="H233" s="128">
        <f t="shared" si="31"/>
        <v>0.4</v>
      </c>
      <c r="I233" s="128">
        <f t="shared" si="31"/>
        <v>0.4</v>
      </c>
      <c r="J233" s="128">
        <f t="shared" si="31"/>
        <v>0.4</v>
      </c>
      <c r="K233" s="128">
        <f t="shared" si="31"/>
        <v>0.4</v>
      </c>
      <c r="L233" s="128">
        <f t="shared" si="31"/>
        <v>0.4</v>
      </c>
      <c r="M233" s="128">
        <f t="shared" si="31"/>
        <v>0.4</v>
      </c>
      <c r="N233" s="128">
        <f t="shared" si="31"/>
        <v>0.4</v>
      </c>
      <c r="O233" s="128">
        <f t="shared" si="31"/>
        <v>0.4</v>
      </c>
      <c r="P233" s="128">
        <f t="shared" si="3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0"/>
        <v>0</v>
      </c>
      <c r="C234" s="132">
        <v>0.64</v>
      </c>
      <c r="D234" s="132">
        <f t="shared" si="31"/>
        <v>0.64</v>
      </c>
      <c r="E234" s="132">
        <f t="shared" si="31"/>
        <v>0.64</v>
      </c>
      <c r="F234" s="132">
        <f t="shared" si="31"/>
        <v>0.64</v>
      </c>
      <c r="G234" s="132">
        <f t="shared" si="31"/>
        <v>0.64</v>
      </c>
      <c r="H234" s="132">
        <f t="shared" si="31"/>
        <v>0.64</v>
      </c>
      <c r="I234" s="132">
        <f t="shared" si="31"/>
        <v>0.64</v>
      </c>
      <c r="J234" s="132">
        <f t="shared" si="31"/>
        <v>0.64</v>
      </c>
      <c r="K234" s="132">
        <f t="shared" si="31"/>
        <v>0.64</v>
      </c>
      <c r="L234" s="132">
        <f t="shared" si="31"/>
        <v>0.64</v>
      </c>
      <c r="M234" s="132">
        <f t="shared" si="31"/>
        <v>0.64</v>
      </c>
      <c r="N234" s="132">
        <f t="shared" si="31"/>
        <v>0.64</v>
      </c>
      <c r="O234" s="132">
        <f t="shared" si="31"/>
        <v>0.64</v>
      </c>
      <c r="P234" s="132">
        <f t="shared" si="3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2">SUM(B229:B234)</f>
        <v>0</v>
      </c>
      <c r="C235" s="136">
        <f t="shared" si="32"/>
        <v>3.54</v>
      </c>
      <c r="D235" s="136">
        <f t="shared" si="32"/>
        <v>3.54</v>
      </c>
      <c r="E235" s="136">
        <f t="shared" si="32"/>
        <v>3.54</v>
      </c>
      <c r="F235" s="136">
        <f t="shared" si="32"/>
        <v>3.54</v>
      </c>
      <c r="G235" s="136">
        <f t="shared" si="32"/>
        <v>3.54</v>
      </c>
      <c r="H235" s="136">
        <f t="shared" si="32"/>
        <v>3.54</v>
      </c>
      <c r="I235" s="136">
        <f t="shared" ca="1" si="32"/>
        <v>121.23900000000009</v>
      </c>
      <c r="J235" s="136">
        <f t="shared" ca="1" si="32"/>
        <v>121.23900000000009</v>
      </c>
      <c r="K235" s="136">
        <f t="shared" ca="1" si="32"/>
        <v>121.23900000000009</v>
      </c>
      <c r="L235" s="136">
        <f t="shared" ca="1" si="32"/>
        <v>125.2590000000001</v>
      </c>
      <c r="M235" s="136">
        <f t="shared" ca="1" si="32"/>
        <v>121.23900000000009</v>
      </c>
      <c r="N235" s="136">
        <f t="shared" ca="1" si="32"/>
        <v>121.23900000000009</v>
      </c>
      <c r="O235" s="136">
        <f t="shared" ca="1" si="32"/>
        <v>121.23900000000009</v>
      </c>
      <c r="P235" s="136">
        <f t="shared" ca="1" si="32"/>
        <v>121.23900000000009</v>
      </c>
      <c r="Q235" s="136">
        <f t="shared" si="32"/>
        <v>0</v>
      </c>
      <c r="R235" s="136">
        <f t="shared" si="32"/>
        <v>0</v>
      </c>
      <c r="S235" s="136">
        <f>SUM(S229:S234)</f>
        <v>0</v>
      </c>
      <c r="T235" s="136">
        <f t="shared" si="32"/>
        <v>0</v>
      </c>
      <c r="U235" s="136">
        <f t="shared" si="32"/>
        <v>0</v>
      </c>
      <c r="V235" s="136">
        <f t="shared" si="32"/>
        <v>0</v>
      </c>
      <c r="W235" s="136">
        <f t="shared" si="32"/>
        <v>0</v>
      </c>
      <c r="X235" s="136">
        <f t="shared" si="32"/>
        <v>0</v>
      </c>
      <c r="Y235" s="136">
        <f>SUM(Y229:Y234)</f>
        <v>0</v>
      </c>
      <c r="Z235" s="136">
        <f t="shared" si="32"/>
        <v>0</v>
      </c>
      <c r="AA235" s="136">
        <f t="shared" si="32"/>
        <v>0</v>
      </c>
      <c r="AB235" s="136">
        <f t="shared" si="32"/>
        <v>0</v>
      </c>
      <c r="AC235" s="136">
        <f t="shared" si="32"/>
        <v>0</v>
      </c>
      <c r="AD235" s="136">
        <f t="shared" si="32"/>
        <v>0</v>
      </c>
      <c r="AE235" s="136">
        <f t="shared" si="32"/>
        <v>0</v>
      </c>
      <c r="AF235" s="136">
        <f t="shared" si="32"/>
        <v>0</v>
      </c>
      <c r="AG235" s="145">
        <f t="shared" si="3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2143.2399999999998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3">B91</f>
        <v>2052.84</v>
      </c>
      <c r="U249" s="170">
        <f t="shared" si="33"/>
        <v>2051.04</v>
      </c>
      <c r="V249" s="170">
        <f t="shared" si="33"/>
        <v>2020.24</v>
      </c>
      <c r="W249" s="170">
        <f t="shared" si="33"/>
        <v>2030.9399999999998</v>
      </c>
      <c r="X249" s="170">
        <f t="shared" si="33"/>
        <v>2037.9399999999998</v>
      </c>
      <c r="Y249" s="170">
        <f t="shared" si="33"/>
        <v>2037.9399999999998</v>
      </c>
      <c r="Z249" s="170">
        <f t="shared" si="33"/>
        <v>2068.94</v>
      </c>
      <c r="AA249" s="170">
        <f t="shared" si="33"/>
        <v>2073.94</v>
      </c>
      <c r="AB249" s="170">
        <f t="shared" si="33"/>
        <v>2057.94</v>
      </c>
      <c r="AC249" s="170">
        <f t="shared" si="33"/>
        <v>2095.94</v>
      </c>
      <c r="AD249" s="170">
        <f t="shared" si="33"/>
        <v>2112.94</v>
      </c>
      <c r="AE249" s="170">
        <f t="shared" si="33"/>
        <v>2143.2399999999998</v>
      </c>
      <c r="AF249" s="170">
        <f t="shared" si="33"/>
        <v>2137.7400000000002</v>
      </c>
      <c r="AG249" s="170">
        <f t="shared" si="33"/>
        <v>2170.54</v>
      </c>
      <c r="AH249" s="170">
        <f t="shared" si="33"/>
        <v>2158.54</v>
      </c>
      <c r="AI249" s="170">
        <f t="shared" si="33"/>
        <v>2170.7399999999998</v>
      </c>
      <c r="AJ249" s="170">
        <f t="shared" si="33"/>
        <v>2135.64</v>
      </c>
      <c r="AK249" s="170">
        <f t="shared" si="33"/>
        <v>2134.84</v>
      </c>
      <c r="AL249" s="170">
        <f t="shared" si="33"/>
        <v>2141.7399999999998</v>
      </c>
      <c r="AM249" s="170">
        <f t="shared" si="33"/>
        <v>2149.44</v>
      </c>
      <c r="AN249" s="170">
        <f t="shared" si="33"/>
        <v>2147.94</v>
      </c>
      <c r="AO249" s="170">
        <f t="shared" si="33"/>
        <v>2120.04</v>
      </c>
      <c r="AP249" s="170">
        <f t="shared" si="33"/>
        <v>2133.1400000000003</v>
      </c>
      <c r="AQ249" s="170">
        <f t="shared" si="33"/>
        <v>2145.2399999999998</v>
      </c>
      <c r="AR249" s="170">
        <f t="shared" si="33"/>
        <v>2219.44</v>
      </c>
      <c r="AS249" s="170">
        <f t="shared" si="33"/>
        <v>2220.94</v>
      </c>
      <c r="AT249" s="170">
        <f t="shared" si="33"/>
        <v>2204.14</v>
      </c>
      <c r="AU249" s="170">
        <f t="shared" si="33"/>
        <v>2204.14</v>
      </c>
      <c r="AV249" s="170">
        <f t="shared" si="33"/>
        <v>2187.6400000000003</v>
      </c>
      <c r="AW249" s="170">
        <f t="shared" si="33"/>
        <v>2107.2400000000002</v>
      </c>
      <c r="AX249" s="170">
        <f t="shared" si="33"/>
        <v>2088.2400000000002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4">C234</f>
        <v>0.64</v>
      </c>
      <c r="C270" s="173">
        <f t="shared" si="34"/>
        <v>0.64</v>
      </c>
      <c r="D270" s="173">
        <f t="shared" si="34"/>
        <v>0.64</v>
      </c>
      <c r="E270" s="173">
        <f t="shared" si="34"/>
        <v>0.64</v>
      </c>
      <c r="F270" s="173">
        <f t="shared" si="34"/>
        <v>0.64</v>
      </c>
      <c r="G270" s="173">
        <f t="shared" si="34"/>
        <v>0.64</v>
      </c>
      <c r="H270" s="173">
        <f t="shared" si="34"/>
        <v>0.64</v>
      </c>
      <c r="I270" s="173">
        <f t="shared" si="34"/>
        <v>0.64</v>
      </c>
      <c r="J270" s="173">
        <f t="shared" si="34"/>
        <v>0.64</v>
      </c>
      <c r="K270" s="173">
        <f t="shared" si="34"/>
        <v>0.64</v>
      </c>
      <c r="L270" s="173">
        <f t="shared" si="34"/>
        <v>0.64</v>
      </c>
      <c r="M270" s="173">
        <f t="shared" si="34"/>
        <v>0.64</v>
      </c>
      <c r="N270" s="173">
        <f t="shared" si="34"/>
        <v>0.64</v>
      </c>
      <c r="O270" s="173">
        <f t="shared" si="34"/>
        <v>0.64</v>
      </c>
      <c r="P270" s="173">
        <f t="shared" si="34"/>
        <v>0</v>
      </c>
      <c r="Q270" s="173">
        <f t="shared" si="34"/>
        <v>0</v>
      </c>
      <c r="R270" s="173">
        <f t="shared" si="34"/>
        <v>0</v>
      </c>
      <c r="S270" s="173">
        <f t="shared" si="34"/>
        <v>0</v>
      </c>
      <c r="T270" s="173">
        <f t="shared" si="34"/>
        <v>0</v>
      </c>
      <c r="U270" s="173">
        <f t="shared" si="34"/>
        <v>0</v>
      </c>
      <c r="V270" s="173">
        <f t="shared" si="34"/>
        <v>0</v>
      </c>
      <c r="W270" s="173">
        <f t="shared" si="34"/>
        <v>0</v>
      </c>
      <c r="X270" s="173">
        <f t="shared" si="34"/>
        <v>0</v>
      </c>
      <c r="Y270" s="173">
        <f t="shared" si="34"/>
        <v>0</v>
      </c>
      <c r="Z270" s="173">
        <f t="shared" si="34"/>
        <v>0</v>
      </c>
      <c r="AA270" s="173">
        <f t="shared" si="34"/>
        <v>0</v>
      </c>
      <c r="AB270" s="173">
        <f t="shared" si="34"/>
        <v>0</v>
      </c>
      <c r="AC270" s="173">
        <f t="shared" si="34"/>
        <v>0</v>
      </c>
      <c r="AD270" s="173">
        <f t="shared" si="34"/>
        <v>0</v>
      </c>
      <c r="AE270" s="173">
        <f t="shared" si="3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5">IF(B238&lt;100,"",B238-520)</f>
        <v/>
      </c>
      <c r="C271" s="174" t="str">
        <f t="shared" si="35"/>
        <v/>
      </c>
      <c r="D271" s="174" t="str">
        <f t="shared" si="35"/>
        <v/>
      </c>
      <c r="E271" s="174" t="str">
        <f t="shared" si="35"/>
        <v/>
      </c>
      <c r="F271" s="174" t="str">
        <f t="shared" si="35"/>
        <v/>
      </c>
      <c r="G271" s="174" t="str">
        <f t="shared" si="35"/>
        <v/>
      </c>
      <c r="H271" s="174" t="str">
        <f t="shared" si="35"/>
        <v/>
      </c>
      <c r="I271" s="174" t="str">
        <f t="shared" si="35"/>
        <v/>
      </c>
      <c r="J271" s="174" t="str">
        <f t="shared" si="35"/>
        <v/>
      </c>
      <c r="K271" s="174" t="str">
        <f t="shared" si="35"/>
        <v/>
      </c>
      <c r="L271" s="174" t="str">
        <f t="shared" si="35"/>
        <v/>
      </c>
      <c r="M271" s="174" t="str">
        <f t="shared" si="35"/>
        <v/>
      </c>
      <c r="N271" s="174" t="str">
        <f t="shared" si="35"/>
        <v/>
      </c>
      <c r="O271" s="174" t="str">
        <f t="shared" si="35"/>
        <v/>
      </c>
      <c r="P271" s="174" t="str">
        <f t="shared" si="35"/>
        <v/>
      </c>
      <c r="Q271" s="174" t="str">
        <f t="shared" si="35"/>
        <v/>
      </c>
      <c r="R271" s="174" t="str">
        <f t="shared" si="35"/>
        <v/>
      </c>
      <c r="S271" s="174" t="str">
        <f t="shared" si="35"/>
        <v/>
      </c>
      <c r="T271" s="174" t="str">
        <f t="shared" si="35"/>
        <v/>
      </c>
      <c r="U271" s="174" t="str">
        <f t="shared" si="35"/>
        <v/>
      </c>
      <c r="V271" s="174" t="str">
        <f t="shared" si="35"/>
        <v/>
      </c>
      <c r="W271" s="174" t="str">
        <f t="shared" si="35"/>
        <v/>
      </c>
      <c r="X271" s="174" t="str">
        <f t="shared" si="35"/>
        <v/>
      </c>
      <c r="Y271" s="174" t="str">
        <f t="shared" si="35"/>
        <v/>
      </c>
      <c r="Z271" s="174" t="str">
        <f t="shared" si="35"/>
        <v/>
      </c>
      <c r="AA271" s="174" t="str">
        <f t="shared" si="35"/>
        <v/>
      </c>
      <c r="AB271" s="174" t="str">
        <f t="shared" si="35"/>
        <v/>
      </c>
      <c r="AC271" s="174" t="str">
        <f t="shared" si="35"/>
        <v/>
      </c>
      <c r="AD271" s="174" t="str">
        <f t="shared" si="35"/>
        <v/>
      </c>
      <c r="AE271" s="174" t="str">
        <f t="shared" si="35"/>
        <v/>
      </c>
      <c r="AF271" s="174" t="str">
        <f t="shared" si="3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6">IF(B239&lt;100,"",B239-620)</f>
        <v/>
      </c>
      <c r="C272" s="174" t="str">
        <f t="shared" si="36"/>
        <v/>
      </c>
      <c r="D272" s="174" t="str">
        <f t="shared" si="36"/>
        <v/>
      </c>
      <c r="E272" s="174" t="str">
        <f t="shared" si="36"/>
        <v/>
      </c>
      <c r="F272" s="174" t="str">
        <f t="shared" si="36"/>
        <v/>
      </c>
      <c r="G272" s="174" t="str">
        <f t="shared" si="36"/>
        <v/>
      </c>
      <c r="H272" s="174" t="str">
        <f t="shared" si="36"/>
        <v/>
      </c>
      <c r="I272" s="174" t="str">
        <f t="shared" si="36"/>
        <v/>
      </c>
      <c r="J272" s="174" t="str">
        <f t="shared" si="36"/>
        <v/>
      </c>
      <c r="K272" s="174" t="str">
        <f t="shared" si="36"/>
        <v/>
      </c>
      <c r="L272" s="174" t="str">
        <f t="shared" si="36"/>
        <v/>
      </c>
      <c r="M272" s="174" t="str">
        <f t="shared" si="36"/>
        <v/>
      </c>
      <c r="N272" s="174" t="str">
        <f t="shared" si="36"/>
        <v/>
      </c>
      <c r="O272" s="174" t="str">
        <f t="shared" si="36"/>
        <v/>
      </c>
      <c r="P272" s="174" t="str">
        <f t="shared" si="36"/>
        <v/>
      </c>
      <c r="Q272" s="174" t="str">
        <f t="shared" si="36"/>
        <v/>
      </c>
      <c r="R272" s="174" t="str">
        <f t="shared" si="36"/>
        <v/>
      </c>
      <c r="S272" s="174" t="str">
        <f t="shared" si="36"/>
        <v/>
      </c>
      <c r="T272" s="174" t="str">
        <f t="shared" si="36"/>
        <v/>
      </c>
      <c r="U272" s="174" t="str">
        <f t="shared" si="36"/>
        <v/>
      </c>
      <c r="V272" s="174" t="str">
        <f t="shared" si="36"/>
        <v/>
      </c>
      <c r="W272" s="174" t="str">
        <f t="shared" si="36"/>
        <v/>
      </c>
      <c r="X272" s="174" t="str">
        <f t="shared" si="36"/>
        <v/>
      </c>
      <c r="Y272" s="174" t="str">
        <f t="shared" si="36"/>
        <v/>
      </c>
      <c r="Z272" s="174" t="str">
        <f t="shared" si="36"/>
        <v/>
      </c>
      <c r="AA272" s="174" t="str">
        <f t="shared" si="36"/>
        <v/>
      </c>
      <c r="AB272" s="174" t="str">
        <f t="shared" si="36"/>
        <v/>
      </c>
      <c r="AC272" s="174" t="str">
        <f t="shared" si="36"/>
        <v/>
      </c>
      <c r="AD272" s="174" t="str">
        <f t="shared" si="36"/>
        <v/>
      </c>
      <c r="AE272" s="174" t="str">
        <f t="shared" si="36"/>
        <v/>
      </c>
      <c r="AF272" s="174" t="str">
        <f t="shared" si="3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7">IF(B240&lt;100,"",B240-330)</f>
        <v/>
      </c>
      <c r="C273" s="174" t="str">
        <f t="shared" si="37"/>
        <v/>
      </c>
      <c r="D273" s="174" t="str">
        <f t="shared" si="37"/>
        <v/>
      </c>
      <c r="E273" s="174" t="str">
        <f t="shared" si="37"/>
        <v/>
      </c>
      <c r="F273" s="174" t="str">
        <f t="shared" si="37"/>
        <v/>
      </c>
      <c r="G273" s="174" t="str">
        <f t="shared" si="37"/>
        <v/>
      </c>
      <c r="H273" s="174" t="str">
        <f t="shared" si="37"/>
        <v/>
      </c>
      <c r="I273" s="174" t="str">
        <f t="shared" si="37"/>
        <v/>
      </c>
      <c r="J273" s="174" t="str">
        <f t="shared" si="37"/>
        <v/>
      </c>
      <c r="K273" s="174" t="str">
        <f t="shared" si="37"/>
        <v/>
      </c>
      <c r="L273" s="174" t="str">
        <f t="shared" si="37"/>
        <v/>
      </c>
      <c r="M273" s="174" t="str">
        <f t="shared" si="37"/>
        <v/>
      </c>
      <c r="N273" s="174" t="str">
        <f t="shared" si="37"/>
        <v/>
      </c>
      <c r="O273" s="174" t="str">
        <f t="shared" si="37"/>
        <v/>
      </c>
      <c r="P273" s="174" t="str">
        <f t="shared" si="37"/>
        <v/>
      </c>
      <c r="Q273" s="174" t="str">
        <f t="shared" si="37"/>
        <v/>
      </c>
      <c r="R273" s="174" t="str">
        <f t="shared" si="37"/>
        <v/>
      </c>
      <c r="S273" s="174" t="str">
        <f t="shared" si="37"/>
        <v/>
      </c>
      <c r="T273" s="174" t="str">
        <f t="shared" si="37"/>
        <v/>
      </c>
      <c r="U273" s="174" t="str">
        <f t="shared" si="37"/>
        <v/>
      </c>
      <c r="V273" s="174" t="str">
        <f t="shared" si="37"/>
        <v/>
      </c>
      <c r="W273" s="174" t="str">
        <f t="shared" si="37"/>
        <v/>
      </c>
      <c r="X273" s="174" t="str">
        <f t="shared" si="37"/>
        <v/>
      </c>
      <c r="Y273" s="174" t="str">
        <f t="shared" si="37"/>
        <v/>
      </c>
      <c r="Z273" s="174" t="str">
        <f t="shared" si="37"/>
        <v/>
      </c>
      <c r="AA273" s="174" t="str">
        <f t="shared" si="37"/>
        <v/>
      </c>
      <c r="AB273" s="174" t="str">
        <f t="shared" si="37"/>
        <v/>
      </c>
      <c r="AC273" s="174" t="str">
        <f t="shared" si="37"/>
        <v/>
      </c>
      <c r="AD273" s="174" t="str">
        <f t="shared" si="37"/>
        <v/>
      </c>
      <c r="AE273" s="174" t="str">
        <f t="shared" si="37"/>
        <v/>
      </c>
      <c r="AF273" s="174" t="str">
        <f t="shared" si="3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8">IF(B241&lt;100,"",B241-1500)</f>
        <v/>
      </c>
      <c r="C274" s="174" t="str">
        <f t="shared" si="38"/>
        <v/>
      </c>
      <c r="D274" s="174" t="str">
        <f t="shared" si="38"/>
        <v/>
      </c>
      <c r="E274" s="174" t="str">
        <f t="shared" si="38"/>
        <v/>
      </c>
      <c r="F274" s="174" t="str">
        <f t="shared" si="38"/>
        <v/>
      </c>
      <c r="G274" s="174" t="str">
        <f t="shared" si="38"/>
        <v/>
      </c>
      <c r="H274" s="174" t="str">
        <f t="shared" si="38"/>
        <v/>
      </c>
      <c r="I274" s="174" t="str">
        <f t="shared" si="38"/>
        <v/>
      </c>
      <c r="J274" s="174" t="str">
        <f t="shared" si="38"/>
        <v/>
      </c>
      <c r="K274" s="174" t="str">
        <f t="shared" si="38"/>
        <v/>
      </c>
      <c r="L274" s="174" t="str">
        <f t="shared" si="38"/>
        <v/>
      </c>
      <c r="M274" s="174" t="str">
        <f t="shared" si="38"/>
        <v/>
      </c>
      <c r="N274" s="174" t="str">
        <f t="shared" si="38"/>
        <v/>
      </c>
      <c r="O274" s="174" t="str">
        <f t="shared" si="38"/>
        <v/>
      </c>
      <c r="P274" s="174" t="str">
        <f t="shared" si="38"/>
        <v/>
      </c>
      <c r="Q274" s="174" t="str">
        <f t="shared" si="38"/>
        <v/>
      </c>
      <c r="R274" s="174" t="str">
        <f t="shared" si="38"/>
        <v/>
      </c>
      <c r="S274" s="174" t="str">
        <f t="shared" si="38"/>
        <v/>
      </c>
      <c r="T274" s="174" t="str">
        <f t="shared" si="38"/>
        <v/>
      </c>
      <c r="U274" s="174" t="str">
        <f t="shared" si="38"/>
        <v/>
      </c>
      <c r="V274" s="174" t="str">
        <f t="shared" si="38"/>
        <v/>
      </c>
      <c r="W274" s="174" t="str">
        <f t="shared" si="38"/>
        <v/>
      </c>
      <c r="X274" s="174" t="str">
        <f t="shared" si="38"/>
        <v/>
      </c>
      <c r="Y274" s="174" t="str">
        <f t="shared" si="38"/>
        <v/>
      </c>
      <c r="Z274" s="174" t="str">
        <f t="shared" si="38"/>
        <v/>
      </c>
      <c r="AA274" s="174" t="str">
        <f t="shared" si="38"/>
        <v/>
      </c>
      <c r="AB274" s="174" t="str">
        <f t="shared" si="38"/>
        <v/>
      </c>
      <c r="AC274" s="174" t="str">
        <f t="shared" si="38"/>
        <v/>
      </c>
      <c r="AD274" s="174" t="str">
        <f t="shared" si="38"/>
        <v/>
      </c>
      <c r="AE274" s="174" t="str">
        <f t="shared" si="38"/>
        <v/>
      </c>
      <c r="AF274" s="174" t="str">
        <f t="shared" si="3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790" priority="64">
      <formula>$AH11=0</formula>
    </cfRule>
  </conditionalFormatting>
  <conditionalFormatting sqref="B8 M8 S8 AB8">
    <cfRule type="expression" dxfId="1789" priority="117">
      <formula>C$9&lt;8/24</formula>
    </cfRule>
    <cfRule type="expression" dxfId="1788" priority="116">
      <formula>AND(C$9&gt;=8/24,C$9&lt;14/24)</formula>
    </cfRule>
    <cfRule type="expression" dxfId="1787" priority="115">
      <formula>AND(C$9&gt;=14/24,C$9&lt;20/24)</formula>
    </cfRule>
  </conditionalFormatting>
  <conditionalFormatting sqref="B54:C54">
    <cfRule type="expression" dxfId="1786" priority="38">
      <formula>B$9&gt;=20/24</formula>
    </cfRule>
    <cfRule type="expression" dxfId="1785" priority="39">
      <formula>AND(B$9&gt;=14/24,B$9&lt;20/24)</formula>
    </cfRule>
    <cfRule type="expression" dxfId="1784" priority="40">
      <formula>AND(B$9&gt;=8/24,B$9&lt;14/24)</formula>
    </cfRule>
    <cfRule type="expression" dxfId="1783" priority="41">
      <formula>B$9&lt;8/24</formula>
    </cfRule>
  </conditionalFormatting>
  <conditionalFormatting sqref="B54:C66 F65:Z66">
    <cfRule type="expression" dxfId="1782" priority="33">
      <formula>B54&gt;$AG54</formula>
    </cfRule>
  </conditionalFormatting>
  <conditionalFormatting sqref="B55:D59">
    <cfRule type="expression" dxfId="1781" priority="63">
      <formula>B$9&lt;8/24</formula>
    </cfRule>
    <cfRule type="expression" dxfId="1780" priority="62">
      <formula>AND(B$9&gt;=8/24,B$9&lt;14/24)</formula>
    </cfRule>
    <cfRule type="expression" dxfId="1779" priority="61">
      <formula>AND(B$9&gt;=14/24,B$9&lt;20/24)</formula>
    </cfRule>
    <cfRule type="expression" dxfId="1778" priority="60">
      <formula>B$9&gt;=20/24</formula>
    </cfRule>
  </conditionalFormatting>
  <conditionalFormatting sqref="B60:Z60">
    <cfRule type="expression" dxfId="1777" priority="52">
      <formula>AND(B$9&gt;=14/24,B$9&lt;20/24)</formula>
    </cfRule>
    <cfRule type="expression" dxfId="1776" priority="51">
      <formula>B$9&gt;=20/24</formula>
    </cfRule>
    <cfRule type="expression" dxfId="1775" priority="54">
      <formula>B$9&lt;8/24</formula>
    </cfRule>
    <cfRule type="expression" dxfId="1774" priority="53">
      <formula>AND(B$9&gt;=8/24,B$9&lt;14/24)</formula>
    </cfRule>
  </conditionalFormatting>
  <conditionalFormatting sqref="B9:AF45">
    <cfRule type="expression" dxfId="1773" priority="23">
      <formula>B$9&gt;=20/24</formula>
    </cfRule>
    <cfRule type="expression" dxfId="1772" priority="24">
      <formula>AND(B$9&gt;=14/24,B$9&lt;20/24)</formula>
    </cfRule>
    <cfRule type="expression" dxfId="1771" priority="25">
      <formula>AND(B$9&gt;=8/24,B$9&lt;14/24)</formula>
    </cfRule>
    <cfRule type="expression" dxfId="1770" priority="26">
      <formula>B$9&lt;8/24</formula>
    </cfRule>
  </conditionalFormatting>
  <conditionalFormatting sqref="B11:AF46">
    <cfRule type="expression" dxfId="1769" priority="22">
      <formula>B11&gt;$AG11</formula>
    </cfRule>
  </conditionalFormatting>
  <conditionalFormatting sqref="B46:AF46">
    <cfRule type="expression" dxfId="1768" priority="21">
      <formula>B$9&lt;8/24</formula>
    </cfRule>
    <cfRule type="expression" dxfId="1767" priority="18">
      <formula>B$9&gt;=20/24</formula>
    </cfRule>
    <cfRule type="expression" dxfId="1766" priority="19">
      <formula>AND(B$9&gt;=14/24,B$9&lt;20/24)</formula>
    </cfRule>
    <cfRule type="expression" dxfId="1765" priority="20">
      <formula>AND(B$9&gt;=8/24,B$9&lt;14/24)</formula>
    </cfRule>
  </conditionalFormatting>
  <conditionalFormatting sqref="B47:AF47">
    <cfRule type="expression" dxfId="1764" priority="32">
      <formula>B47&gt;$AG47</formula>
    </cfRule>
  </conditionalFormatting>
  <conditionalFormatting sqref="B47:AF49">
    <cfRule type="expression" dxfId="1763" priority="31">
      <formula>B$9&lt;8/24</formula>
    </cfRule>
    <cfRule type="expression" dxfId="1762" priority="30">
      <formula>AND(B$9&gt;=8/24,B$9&lt;14/24)</formula>
    </cfRule>
    <cfRule type="expression" dxfId="1761" priority="29">
      <formula>AND(B$9&gt;=14/24,B$9&lt;20/24)</formula>
    </cfRule>
    <cfRule type="expression" dxfId="1760" priority="28">
      <formula>B$9&gt;=20/24</formula>
    </cfRule>
  </conditionalFormatting>
  <conditionalFormatting sqref="B48:AF53">
    <cfRule type="expression" dxfId="1759" priority="27">
      <formula>B48&gt;$AG48</formula>
    </cfRule>
  </conditionalFormatting>
  <conditionalFormatting sqref="B51:AF53">
    <cfRule type="expression" dxfId="1758" priority="48">
      <formula>AND(B$9&gt;=14/24,B$9&lt;20/24)</formula>
    </cfRule>
    <cfRule type="expression" dxfId="1757" priority="49">
      <formula>AND(B$9&gt;=8/24,B$9&lt;14/24)</formula>
    </cfRule>
    <cfRule type="expression" dxfId="1756" priority="50">
      <formula>B$9&lt;8/24</formula>
    </cfRule>
    <cfRule type="expression" dxfId="1755" priority="47">
      <formula>B$9&gt;=20/24</formula>
    </cfRule>
  </conditionalFormatting>
  <conditionalFormatting sqref="B61:AF66">
    <cfRule type="expression" dxfId="1754" priority="35">
      <formula>AND(B$9&gt;=14/24,B$9&lt;20/24)</formula>
    </cfRule>
    <cfRule type="expression" dxfId="1753" priority="36">
      <formula>AND(B$9&gt;=8/24,B$9&lt;14/24)</formula>
    </cfRule>
    <cfRule type="expression" dxfId="1752" priority="37">
      <formula>B$9&lt;8/24</formula>
    </cfRule>
    <cfRule type="expression" dxfId="1751" priority="34">
      <formula>B$9&gt;=20/24</formula>
    </cfRule>
  </conditionalFormatting>
  <conditionalFormatting sqref="B69:AF71">
    <cfRule type="expression" dxfId="1750" priority="58">
      <formula>AND(B$9&gt;=8/24,B$9&lt;14/24)</formula>
    </cfRule>
    <cfRule type="expression" dxfId="1749" priority="59">
      <formula>B$9&lt;8/24</formula>
    </cfRule>
    <cfRule type="expression" dxfId="1748" priority="55">
      <formula>B69&gt;$AG69</formula>
    </cfRule>
    <cfRule type="expression" dxfId="1747" priority="56">
      <formula>B$9&gt;=20/24</formula>
    </cfRule>
    <cfRule type="expression" dxfId="1746" priority="57">
      <formula>AND(B$9&gt;=14/24,B$9&lt;20/24)</formula>
    </cfRule>
  </conditionalFormatting>
  <conditionalFormatting sqref="B73:AF91">
    <cfRule type="expression" dxfId="1745" priority="2">
      <formula>AND(B$9&gt;=14/24,B$9&lt;20/24)</formula>
    </cfRule>
    <cfRule type="expression" dxfId="1744" priority="4">
      <formula>B$9&lt;8/24</formula>
    </cfRule>
    <cfRule type="expression" dxfId="1743" priority="3">
      <formula>AND(B$9&gt;=8/24,B$9&lt;14/24)</formula>
    </cfRule>
    <cfRule type="expression" dxfId="1742" priority="1">
      <formula>B$9&gt;=20/24</formula>
    </cfRule>
  </conditionalFormatting>
  <conditionalFormatting sqref="B111:AF120">
    <cfRule type="expression" dxfId="1741" priority="17">
      <formula>B$9&lt;8/24</formula>
    </cfRule>
    <cfRule type="expression" dxfId="1740" priority="16">
      <formula>AND(B$9&gt;=8/24,B$9&lt;14/24)</formula>
    </cfRule>
    <cfRule type="expression" dxfId="1739" priority="15">
      <formula>AND(B$9&gt;=14/24,B$9&lt;20/24)</formula>
    </cfRule>
    <cfRule type="expression" dxfId="1738" priority="14">
      <formula>B$9&gt;=20/24</formula>
    </cfRule>
  </conditionalFormatting>
  <conditionalFormatting sqref="B227:AF227 D229:R230 B229:B235 S229:AF235 D231:H231 J231:R231 D232:R235 U248:AF248">
    <cfRule type="expression" dxfId="1737" priority="108">
      <formula>B$9&gt;=20/24</formula>
    </cfRule>
    <cfRule type="expression" dxfId="1736" priority="110">
      <formula>AND(B$9&gt;=8/24,B$9&lt;14/24)</formula>
    </cfRule>
    <cfRule type="expression" dxfId="1735" priority="111">
      <formula>B$9&lt;8/24</formula>
    </cfRule>
    <cfRule type="expression" dxfId="1734" priority="109">
      <formula>AND(B$9&gt;=14/24,B$9&lt;20/24)</formula>
    </cfRule>
  </conditionalFormatting>
  <conditionalFormatting sqref="B67:AG68 B72:AG72">
    <cfRule type="expression" dxfId="1733" priority="42">
      <formula>B67&gt;$AG67</formula>
    </cfRule>
  </conditionalFormatting>
  <conditionalFormatting sqref="B72:AG72 B93:AF109">
    <cfRule type="expression" dxfId="1732" priority="46">
      <formula>B$9&lt;8/24</formula>
    </cfRule>
    <cfRule type="expression" dxfId="1731" priority="45">
      <formula>AND(B$9&gt;=8/24,B$9&lt;14/24)</formula>
    </cfRule>
    <cfRule type="expression" dxfId="1730" priority="44">
      <formula>AND(B$9&gt;=14/24,B$9&lt;20/24)</formula>
    </cfRule>
    <cfRule type="expression" dxfId="1729" priority="43">
      <formula>B$9&gt;=20/24</formula>
    </cfRule>
  </conditionalFormatting>
  <conditionalFormatting sqref="D55:AF66">
    <cfRule type="expression" dxfId="1728" priority="5">
      <formula>D55&gt;$AG55</formula>
    </cfRule>
  </conditionalFormatting>
  <conditionalFormatting sqref="D54:AG54">
    <cfRule type="expression" dxfId="1727" priority="78">
      <formula>AND(D$9&gt;=14/24,D$9&lt;20/24)</formula>
    </cfRule>
    <cfRule type="expression" dxfId="1726" priority="77">
      <formula>D$9&gt;=20/24</formula>
    </cfRule>
    <cfRule type="expression" dxfId="1725" priority="76">
      <formula>D54&gt;$AG54</formula>
    </cfRule>
    <cfRule type="expression" dxfId="1724" priority="79">
      <formula>AND(D$9&gt;=8/24,D$9&lt;14/24)</formula>
    </cfRule>
    <cfRule type="expression" dxfId="1723" priority="80">
      <formula>D$9&lt;8/24</formula>
    </cfRule>
  </conditionalFormatting>
  <conditionalFormatting sqref="E55:Z57">
    <cfRule type="expression" dxfId="1722" priority="89">
      <formula>E$9&gt;=20/24</formula>
    </cfRule>
    <cfRule type="expression" dxfId="1721" priority="90">
      <formula>AND(E$9&gt;=14/24,E$9&lt;20/24)</formula>
    </cfRule>
    <cfRule type="expression" dxfId="1720" priority="91">
      <formula>AND(E$9&gt;=8/24,E$9&lt;14/24)</formula>
    </cfRule>
    <cfRule type="expression" dxfId="1719" priority="92">
      <formula>E$9&lt;8/24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O55:R59 R55:Z64 M57:Q64 U62:AF62">
    <cfRule type="expression" dxfId="1718" priority="93">
      <formula>M$9&gt;=20/24</formula>
    </cfRule>
    <cfRule type="expression" dxfId="1717" priority="95">
      <formula>AND(M$9&gt;=8/24,M$9&lt;14/24)</formula>
    </cfRule>
    <cfRule type="expression" dxfId="1716" priority="96">
      <formula>M$9&lt;8/24</formula>
    </cfRule>
    <cfRule type="expression" dxfId="1715" priority="94">
      <formula>AND(M$9&gt;=14/24,M$9&lt;20/24)</formula>
    </cfRule>
  </conditionalFormatting>
  <conditionalFormatting sqref="S8 AB8 B8 M8">
    <cfRule type="expression" dxfId="1714" priority="114">
      <formula>C$9&gt;=20/24</formula>
    </cfRule>
  </conditionalFormatting>
  <conditionalFormatting sqref="S8">
    <cfRule type="expression" dxfId="1713" priority="102">
      <formula>AND(U$9&gt;=14/24,U$9&lt;20/24)</formula>
    </cfRule>
    <cfRule type="expression" dxfId="1712" priority="101">
      <formula>U$9&gt;=20/24</formula>
    </cfRule>
    <cfRule type="expression" dxfId="1711" priority="103">
      <formula>AND(U$9&gt;=8/24,U$9&lt;14/24)</formula>
    </cfRule>
    <cfRule type="expression" dxfId="1710" priority="104">
      <formula>U$9&lt;8/24</formula>
    </cfRule>
  </conditionalFormatting>
  <conditionalFormatting sqref="T248">
    <cfRule type="expression" dxfId="1709" priority="129">
      <formula>AX$9&lt;8/24</formula>
    </cfRule>
    <cfRule type="expression" dxfId="1708" priority="126">
      <formula>AX$9&gt;=20/24</formula>
    </cfRule>
    <cfRule type="expression" dxfId="1707" priority="127">
      <formula>AND(AX$9&gt;=14/24,AX$9&lt;20/24)</formula>
    </cfRule>
    <cfRule type="expression" dxfId="1706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1705" priority="12">
      <formula>AND(AA$9&gt;=8/24,AA$9&lt;14/24)</formula>
    </cfRule>
    <cfRule type="expression" dxfId="1704" priority="13">
      <formula>AA$9&lt;8/24</formula>
    </cfRule>
    <cfRule type="expression" dxfId="1703" priority="11">
      <formula>AND(AA$9&gt;=14/24,AA$9&lt;20/24)</formula>
    </cfRule>
    <cfRule type="expression" dxfId="1702" priority="10">
      <formula>AA$9&gt;=20/24</formula>
    </cfRule>
  </conditionalFormatting>
  <conditionalFormatting sqref="AB8">
    <cfRule type="expression" dxfId="1701" priority="97">
      <formula>AD$9&gt;=20/24</formula>
    </cfRule>
    <cfRule type="expression" dxfId="1700" priority="99">
      <formula>AND(AD$9&gt;=8/24,AD$9&lt;14/24)</formula>
    </cfRule>
    <cfRule type="expression" dxfId="1699" priority="98">
      <formula>AND(AD$9&gt;=14/24,AD$9&lt;20/24)</formula>
    </cfRule>
    <cfRule type="expression" dxfId="1698" priority="100">
      <formula>AD$9&lt;8/24</formula>
    </cfRule>
  </conditionalFormatting>
  <conditionalFormatting sqref="AE61:AF66">
    <cfRule type="expression" dxfId="1697" priority="7">
      <formula>AND(AE$9&gt;=14/24,AE$9&lt;20/24)</formula>
    </cfRule>
    <cfRule type="expression" dxfId="1696" priority="6">
      <formula>AE$9&gt;=20/24</formula>
    </cfRule>
    <cfRule type="expression" dxfId="1695" priority="9">
      <formula>AE$9&lt;8/24</formula>
    </cfRule>
    <cfRule type="expression" dxfId="1694" priority="8">
      <formula>AND(AE$9&gt;=8/24,AE$9&lt;14/24)</formula>
    </cfRule>
  </conditionalFormatting>
  <conditionalFormatting sqref="AG50">
    <cfRule type="expression" dxfId="1693" priority="84">
      <formula>AG50&gt;$AG50</formula>
    </cfRule>
  </conditionalFormatting>
  <conditionalFormatting sqref="AG89">
    <cfRule type="expression" dxfId="1692" priority="85">
      <formula>AG$9&gt;=20/24</formula>
    </cfRule>
    <cfRule type="expression" dxfId="1691" priority="86">
      <formula>AND(AG$9&gt;=14/24,AG$9&lt;20/24)</formula>
    </cfRule>
    <cfRule type="expression" dxfId="1690" priority="87">
      <formula>AND(AG$9&gt;=8/24,AG$9&lt;14/24)</formula>
    </cfRule>
    <cfRule type="expression" dxfId="1689" priority="88">
      <formula>AG$9&lt;8/24</formula>
    </cfRule>
  </conditionalFormatting>
  <conditionalFormatting sqref="AG248">
    <cfRule type="expression" dxfId="1688" priority="118">
      <formula>B$9&gt;=20/24</formula>
    </cfRule>
    <cfRule type="expression" dxfId="1687" priority="121">
      <formula>B$9&lt;8/24</formula>
    </cfRule>
    <cfRule type="expression" dxfId="1686" priority="120">
      <formula>AND(B$9&gt;=8/24,B$9&lt;14/24)</formula>
    </cfRule>
    <cfRule type="expression" dxfId="1685" priority="119">
      <formula>AND(B$9&gt;=14/24,B$9&lt;20/24)</formula>
    </cfRule>
  </conditionalFormatting>
  <conditionalFormatting sqref="AH248:AX248">
    <cfRule type="expression" dxfId="1684" priority="125">
      <formula>AG$9&lt;8/24</formula>
    </cfRule>
    <cfRule type="expression" dxfId="1683" priority="124">
      <formula>AND(AG$9&gt;=8/24,AG$9&lt;14/24)</formula>
    </cfRule>
    <cfRule type="expression" dxfId="1682" priority="123">
      <formula>AND(AG$9&gt;=14/24,AG$9&lt;20/24)</formula>
    </cfRule>
    <cfRule type="expression" dxfId="1681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680" priority="131">
      <formula>AJ$9&gt;=20/24</formula>
    </cfRule>
    <cfRule type="expression" dxfId="1679" priority="132">
      <formula>AND(AJ$9&gt;=14/24,AJ$9&lt;20/24)</formula>
    </cfRule>
    <cfRule type="expression" dxfId="1678" priority="133">
      <formula>AND(AJ$9&gt;=8/24,AJ$9&lt;14/24)</formula>
    </cfRule>
    <cfRule type="expression" dxfId="1677" priority="134">
      <formula>AJ$9&lt;8/24</formula>
    </cfRule>
  </conditionalFormatting>
  <conditionalFormatting sqref="AL80:AN80 AL86:AN86">
    <cfRule type="expression" dxfId="1676" priority="75">
      <formula>AL$9&lt;8/24</formula>
    </cfRule>
    <cfRule type="expression" dxfId="1675" priority="74">
      <formula>AND(AL$9&gt;=8/24,AL$9&lt;14/24)</formula>
    </cfRule>
    <cfRule type="expression" dxfId="1674" priority="73">
      <formula>AND(AL$9&gt;=14/24,AL$9&lt;20/24)</formula>
    </cfRule>
    <cfRule type="expression" dxfId="1673" priority="72">
      <formula>AL$9&gt;=20/24</formula>
    </cfRule>
  </conditionalFormatting>
  <conditionalFormatting sqref="AN81:AN84">
    <cfRule type="expression" dxfId="1672" priority="71">
      <formula>AN$9&lt;8/24</formula>
    </cfRule>
    <cfRule type="expression" dxfId="1671" priority="69">
      <formula>AND(AN$9&gt;=14/24,AN$9&lt;20/24)</formula>
    </cfRule>
    <cfRule type="expression" dxfId="1670" priority="70">
      <formula>AND(AN$9&gt;=8/24,AN$9&lt;14/24)</formula>
    </cfRule>
    <cfRule type="expression" dxfId="1669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94015-401B-4EC6-8B64-69DB374022CD}">
  <sheetPr codeName="Sheet24"/>
  <dimension ref="A1:CJ281"/>
  <sheetViews>
    <sheetView workbookViewId="0">
      <pane xSplit="1" ySplit="10" topLeftCell="B53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L127" sqref="AL127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2080/05/20</v>
      </c>
      <c r="C4" s="196"/>
      <c r="D4" s="196"/>
      <c r="E4" s="197" t="str">
        <f ca="1">"2080/"&amp;"05/"&amp;INT(MID(CELL("filename",G6),FIND("]",CELL("filename",G6))+1,200))</f>
        <v>2080/05/20</v>
      </c>
      <c r="F4" s="197"/>
      <c r="G4" s="197"/>
      <c r="H4" s="197" t="str">
        <f ca="1">TEXT(E4,"dddd")</f>
        <v>Monday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9</v>
      </c>
      <c r="C5" s="30">
        <f t="shared" si="0"/>
        <v>6.2</v>
      </c>
      <c r="D5" s="30">
        <f t="shared" si="0"/>
        <v>8.4</v>
      </c>
      <c r="E5" s="30">
        <f t="shared" si="0"/>
        <v>7.4</v>
      </c>
      <c r="F5" s="30">
        <f t="shared" si="0"/>
        <v>6.2</v>
      </c>
      <c r="G5" s="30">
        <f t="shared" si="0"/>
        <v>6.2</v>
      </c>
      <c r="H5" s="30">
        <f t="shared" si="0"/>
        <v>7</v>
      </c>
      <c r="I5" s="30">
        <f t="shared" si="0"/>
        <v>7</v>
      </c>
      <c r="J5" s="30">
        <f t="shared" si="0"/>
        <v>1.2</v>
      </c>
      <c r="K5" s="30">
        <f t="shared" si="0"/>
        <v>3.8</v>
      </c>
      <c r="L5" s="30">
        <f t="shared" si="0"/>
        <v>10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32</v>
      </c>
      <c r="Z5" s="30">
        <f t="shared" si="0"/>
        <v>43</v>
      </c>
      <c r="AA5" s="30">
        <f t="shared" si="0"/>
        <v>44.8</v>
      </c>
      <c r="AB5" s="30">
        <f t="shared" si="0"/>
        <v>45</v>
      </c>
      <c r="AC5" s="30">
        <f t="shared" si="0"/>
        <v>3</v>
      </c>
      <c r="AD5" s="30">
        <f t="shared" si="0"/>
        <v>12</v>
      </c>
      <c r="AE5" s="30">
        <f t="shared" si="0"/>
        <v>10</v>
      </c>
      <c r="AF5" s="30">
        <f>B84</f>
        <v>14.2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2143MW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Load=2040</v>
      </c>
      <c r="B7" s="35">
        <f t="shared" ref="B7:AF7" si="1">B91</f>
        <v>2048.44</v>
      </c>
      <c r="C7" s="35">
        <f t="shared" si="1"/>
        <v>2043.2400000000002</v>
      </c>
      <c r="D7" s="35">
        <f t="shared" si="1"/>
        <v>2040.4400000000003</v>
      </c>
      <c r="E7" s="35">
        <f t="shared" si="1"/>
        <v>2041.9400000000003</v>
      </c>
      <c r="F7" s="35">
        <f t="shared" si="1"/>
        <v>2040.9400000000003</v>
      </c>
      <c r="G7" s="35">
        <f t="shared" si="1"/>
        <v>2045.7400000000002</v>
      </c>
      <c r="H7" s="35">
        <f t="shared" si="1"/>
        <v>2065.84</v>
      </c>
      <c r="I7" s="35">
        <f t="shared" si="1"/>
        <v>2066.6400000000003</v>
      </c>
      <c r="J7" s="35">
        <f t="shared" si="1"/>
        <v>2080.84</v>
      </c>
      <c r="K7" s="35">
        <f t="shared" si="1"/>
        <v>2078.7399999999998</v>
      </c>
      <c r="L7" s="35">
        <f t="shared" si="1"/>
        <v>2101.6400000000003</v>
      </c>
      <c r="M7" s="35">
        <f t="shared" si="1"/>
        <v>2118.64</v>
      </c>
      <c r="N7" s="35">
        <f>N91</f>
        <v>2142.64</v>
      </c>
      <c r="O7" s="35">
        <f t="shared" si="1"/>
        <v>2143.6400000000003</v>
      </c>
      <c r="P7" s="35">
        <f t="shared" si="1"/>
        <v>2153.54</v>
      </c>
      <c r="Q7" s="35">
        <f t="shared" si="1"/>
        <v>2153.64</v>
      </c>
      <c r="R7" s="35">
        <f t="shared" si="1"/>
        <v>2137.64</v>
      </c>
      <c r="S7" s="35">
        <f t="shared" si="1"/>
        <v>2134.04</v>
      </c>
      <c r="T7" s="35">
        <f t="shared" si="1"/>
        <v>2130.7400000000002</v>
      </c>
      <c r="U7" s="35">
        <f t="shared" si="1"/>
        <v>2125.04</v>
      </c>
      <c r="V7" s="35">
        <f t="shared" si="1"/>
        <v>2081.54</v>
      </c>
      <c r="W7" s="35">
        <f t="shared" si="1"/>
        <v>2091.1400000000003</v>
      </c>
      <c r="X7" s="35">
        <f t="shared" si="1"/>
        <v>2112.6400000000003</v>
      </c>
      <c r="Y7" s="35">
        <f t="shared" si="1"/>
        <v>2144.34</v>
      </c>
      <c r="Z7" s="35">
        <f t="shared" si="1"/>
        <v>2239.94</v>
      </c>
      <c r="AA7" s="35">
        <f t="shared" si="1"/>
        <v>2236.84</v>
      </c>
      <c r="AB7" s="35">
        <f t="shared" si="1"/>
        <v>2238.6400000000003</v>
      </c>
      <c r="AC7" s="35">
        <f t="shared" si="1"/>
        <v>2238.84</v>
      </c>
      <c r="AD7" s="35">
        <f t="shared" si="1"/>
        <v>2196.84</v>
      </c>
      <c r="AE7" s="35">
        <f t="shared" si="1"/>
        <v>2173.2399999999998</v>
      </c>
      <c r="AF7" s="35">
        <f t="shared" si="1"/>
        <v>2080.7399999999998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90.3</v>
      </c>
      <c r="F11" s="45">
        <v>90.3</v>
      </c>
      <c r="G11" s="45">
        <v>90.3</v>
      </c>
      <c r="H11" s="45">
        <v>90.3</v>
      </c>
      <c r="I11" s="45">
        <v>90.3</v>
      </c>
      <c r="J11" s="45">
        <v>90.3</v>
      </c>
      <c r="K11" s="45">
        <v>90</v>
      </c>
      <c r="L11" s="45">
        <v>90.2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9</v>
      </c>
      <c r="I12" s="45">
        <v>9</v>
      </c>
      <c r="J12" s="45">
        <v>9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8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54.4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50.6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47.2</v>
      </c>
      <c r="K15" s="45">
        <v>47.2</v>
      </c>
      <c r="L15" s="45">
        <v>47.2</v>
      </c>
      <c r="M15" s="45">
        <v>47.2</v>
      </c>
      <c r="N15" s="45">
        <v>47.2</v>
      </c>
      <c r="O15" s="45">
        <v>47.2</v>
      </c>
      <c r="P15" s="45">
        <v>47.2</v>
      </c>
      <c r="Q15" s="45">
        <v>47.2</v>
      </c>
      <c r="R15" s="45">
        <v>47.2</v>
      </c>
      <c r="S15" s="45">
        <v>47.2</v>
      </c>
      <c r="T15" s="45">
        <v>47.2</v>
      </c>
      <c r="U15" s="45">
        <v>47.2</v>
      </c>
      <c r="V15" s="45">
        <v>47.2</v>
      </c>
      <c r="W15" s="45">
        <v>47.2</v>
      </c>
      <c r="X15" s="45">
        <v>47.2</v>
      </c>
      <c r="Y15" s="45">
        <v>47.2</v>
      </c>
      <c r="Z15" s="45">
        <v>47.2</v>
      </c>
      <c r="AA15" s="45">
        <v>47.2</v>
      </c>
      <c r="AB15" s="45">
        <v>47.2</v>
      </c>
      <c r="AC15" s="45">
        <v>47.2</v>
      </c>
      <c r="AD15" s="45">
        <v>47.2</v>
      </c>
      <c r="AE15" s="45">
        <v>47.2</v>
      </c>
      <c r="AF15" s="45">
        <v>47.2</v>
      </c>
      <c r="AG15" s="49">
        <v>45</v>
      </c>
      <c r="AH15" s="47">
        <f t="shared" si="2"/>
        <v>47.2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33.5</v>
      </c>
      <c r="U17" s="45">
        <v>33.5</v>
      </c>
      <c r="V17" s="45">
        <v>33.5</v>
      </c>
      <c r="W17" s="45">
        <v>33.5</v>
      </c>
      <c r="X17" s="45">
        <v>33.5</v>
      </c>
      <c r="Y17" s="45">
        <v>33.5</v>
      </c>
      <c r="Z17" s="45">
        <v>42</v>
      </c>
      <c r="AA17" s="45">
        <v>30</v>
      </c>
      <c r="AB17" s="45">
        <v>30</v>
      </c>
      <c r="AC17" s="45">
        <v>30</v>
      </c>
      <c r="AD17" s="45">
        <v>30</v>
      </c>
      <c r="AE17" s="45">
        <v>30</v>
      </c>
      <c r="AF17" s="45">
        <v>28</v>
      </c>
      <c r="AG17" s="49">
        <v>42</v>
      </c>
      <c r="AH17" s="47">
        <f t="shared" si="2"/>
        <v>42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33</v>
      </c>
      <c r="C19" s="45">
        <v>33</v>
      </c>
      <c r="D19" s="45">
        <v>33</v>
      </c>
      <c r="E19" s="45">
        <v>33</v>
      </c>
      <c r="F19" s="45">
        <v>33</v>
      </c>
      <c r="G19" s="45">
        <v>33</v>
      </c>
      <c r="H19" s="45">
        <v>33</v>
      </c>
      <c r="I19" s="45">
        <v>33</v>
      </c>
      <c r="J19" s="45">
        <v>36</v>
      </c>
      <c r="K19" s="45">
        <v>36</v>
      </c>
      <c r="L19" s="45">
        <v>36</v>
      </c>
      <c r="M19" s="45">
        <v>24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5.0999999999999996</v>
      </c>
      <c r="I20" s="45">
        <v>5.0999999999999996</v>
      </c>
      <c r="J20" s="45">
        <v>5.0999999999999996</v>
      </c>
      <c r="K20" s="45">
        <v>5.0999999999999996</v>
      </c>
      <c r="L20" s="45">
        <v>12</v>
      </c>
      <c r="M20" s="45">
        <v>12</v>
      </c>
      <c r="N20" s="45">
        <v>15</v>
      </c>
      <c r="O20" s="45">
        <v>21.1</v>
      </c>
      <c r="P20" s="45">
        <v>19</v>
      </c>
      <c r="Q20" s="45">
        <v>12</v>
      </c>
      <c r="R20" s="45">
        <v>12</v>
      </c>
      <c r="S20" s="45">
        <v>12</v>
      </c>
      <c r="T20" s="45">
        <v>12</v>
      </c>
      <c r="U20" s="45">
        <v>12</v>
      </c>
      <c r="V20" s="45">
        <v>7.3</v>
      </c>
      <c r="W20" s="45">
        <v>7.3</v>
      </c>
      <c r="X20" s="45">
        <v>7.3</v>
      </c>
      <c r="Y20" s="45">
        <v>15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</v>
      </c>
      <c r="C21" s="45">
        <v>21</v>
      </c>
      <c r="D21" s="45">
        <v>21</v>
      </c>
      <c r="E21" s="45">
        <v>21</v>
      </c>
      <c r="F21" s="45">
        <v>21</v>
      </c>
      <c r="G21" s="45">
        <v>25</v>
      </c>
      <c r="H21" s="45">
        <v>25</v>
      </c>
      <c r="I21" s="45">
        <v>25</v>
      </c>
      <c r="J21" s="45">
        <v>25</v>
      </c>
      <c r="K21" s="45">
        <v>25</v>
      </c>
      <c r="L21" s="45">
        <v>25</v>
      </c>
      <c r="M21" s="45">
        <v>25</v>
      </c>
      <c r="N21" s="45">
        <v>25</v>
      </c>
      <c r="O21" s="45">
        <v>25</v>
      </c>
      <c r="P21" s="45">
        <v>25</v>
      </c>
      <c r="Q21" s="45">
        <v>25</v>
      </c>
      <c r="R21" s="45">
        <v>25</v>
      </c>
      <c r="S21" s="45">
        <v>25</v>
      </c>
      <c r="T21" s="45">
        <v>25</v>
      </c>
      <c r="U21" s="45">
        <v>25</v>
      </c>
      <c r="V21" s="45">
        <v>25</v>
      </c>
      <c r="W21" s="45">
        <v>25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</v>
      </c>
      <c r="AI21" s="48">
        <f t="shared" si="3"/>
        <v>21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28.5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3</v>
      </c>
      <c r="I23" s="45">
        <v>3</v>
      </c>
      <c r="J23" s="45">
        <v>3</v>
      </c>
      <c r="K23" s="45">
        <v>3</v>
      </c>
      <c r="L23" s="45">
        <v>9</v>
      </c>
      <c r="M23" s="45">
        <v>13</v>
      </c>
      <c r="N23" s="45">
        <v>13</v>
      </c>
      <c r="O23" s="45">
        <v>13</v>
      </c>
      <c r="P23" s="45">
        <v>16.8</v>
      </c>
      <c r="Q23" s="45">
        <v>13.5</v>
      </c>
      <c r="R23" s="45">
        <v>13.5</v>
      </c>
      <c r="S23" s="45">
        <v>10</v>
      </c>
      <c r="T23" s="45">
        <v>10</v>
      </c>
      <c r="U23" s="45">
        <v>10</v>
      </c>
      <c r="V23" s="45">
        <v>7</v>
      </c>
      <c r="W23" s="45">
        <v>7</v>
      </c>
      <c r="X23" s="45">
        <v>7</v>
      </c>
      <c r="Y23" s="45">
        <v>13.5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27</v>
      </c>
      <c r="AF23" s="45">
        <v>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24.3</v>
      </c>
      <c r="D24" s="45">
        <v>24.3</v>
      </c>
      <c r="E24" s="45">
        <v>24.3</v>
      </c>
      <c r="F24" s="45">
        <v>24.3</v>
      </c>
      <c r="G24" s="45">
        <v>24.3</v>
      </c>
      <c r="H24" s="45">
        <v>24.3</v>
      </c>
      <c r="I24" s="45">
        <v>24.3</v>
      </c>
      <c r="J24" s="45">
        <v>24.3</v>
      </c>
      <c r="K24" s="45">
        <v>24.3</v>
      </c>
      <c r="L24" s="45">
        <v>24.3</v>
      </c>
      <c r="M24" s="45">
        <v>24.3</v>
      </c>
      <c r="N24" s="45">
        <v>24.3</v>
      </c>
      <c r="O24" s="45">
        <v>24.3</v>
      </c>
      <c r="P24" s="45">
        <v>24.3</v>
      </c>
      <c r="Q24" s="45">
        <v>24.3</v>
      </c>
      <c r="R24" s="45">
        <v>24.3</v>
      </c>
      <c r="S24" s="45">
        <v>24.3</v>
      </c>
      <c r="T24" s="45">
        <v>24.3</v>
      </c>
      <c r="U24" s="45">
        <v>24.3</v>
      </c>
      <c r="V24" s="45">
        <v>24.3</v>
      </c>
      <c r="W24" s="45">
        <v>24.3</v>
      </c>
      <c r="X24" s="45">
        <v>24.3</v>
      </c>
      <c r="Y24" s="45">
        <v>24.3</v>
      </c>
      <c r="Z24" s="45">
        <v>24.3</v>
      </c>
      <c r="AA24" s="45">
        <v>24.3</v>
      </c>
      <c r="AB24" s="45">
        <v>24.3</v>
      </c>
      <c r="AC24" s="45">
        <v>24.3</v>
      </c>
      <c r="AD24" s="45">
        <v>24.3</v>
      </c>
      <c r="AE24" s="45">
        <v>24.3</v>
      </c>
      <c r="AF24" s="45">
        <v>24.3</v>
      </c>
      <c r="AG24" s="49">
        <v>25</v>
      </c>
      <c r="AH24" s="47">
        <f t="shared" si="2"/>
        <v>24.3</v>
      </c>
      <c r="AI24" s="48">
        <f t="shared" si="3"/>
        <v>24.3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22</v>
      </c>
      <c r="G26" s="45">
        <v>22</v>
      </c>
      <c r="H26" s="45">
        <v>22</v>
      </c>
      <c r="I26" s="45">
        <v>22</v>
      </c>
      <c r="J26" s="45">
        <v>22</v>
      </c>
      <c r="K26" s="45">
        <v>22</v>
      </c>
      <c r="L26" s="45">
        <v>22</v>
      </c>
      <c r="M26" s="45">
        <v>22</v>
      </c>
      <c r="N26" s="45">
        <v>22</v>
      </c>
      <c r="O26" s="45">
        <v>22</v>
      </c>
      <c r="P26" s="45">
        <v>22</v>
      </c>
      <c r="Q26" s="45">
        <v>22</v>
      </c>
      <c r="R26" s="45">
        <v>22</v>
      </c>
      <c r="S26" s="45">
        <v>22</v>
      </c>
      <c r="T26" s="45">
        <v>22</v>
      </c>
      <c r="U26" s="45">
        <v>22</v>
      </c>
      <c r="V26" s="45">
        <v>22</v>
      </c>
      <c r="W26" s="45">
        <v>22</v>
      </c>
      <c r="X26" s="45">
        <v>22</v>
      </c>
      <c r="Y26" s="45">
        <v>22</v>
      </c>
      <c r="Z26" s="45">
        <v>22</v>
      </c>
      <c r="AA26" s="45">
        <v>22</v>
      </c>
      <c r="AB26" s="45">
        <v>22</v>
      </c>
      <c r="AC26" s="45">
        <v>22</v>
      </c>
      <c r="AD26" s="45">
        <v>22</v>
      </c>
      <c r="AE26" s="45">
        <v>22</v>
      </c>
      <c r="AF26" s="45">
        <v>22</v>
      </c>
      <c r="AG26" s="49">
        <v>25</v>
      </c>
      <c r="AH26" s="47">
        <f t="shared" si="2"/>
        <v>22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3</v>
      </c>
      <c r="I27" s="45">
        <v>3</v>
      </c>
      <c r="J27" s="45">
        <v>3</v>
      </c>
      <c r="K27" s="45">
        <v>3</v>
      </c>
      <c r="L27" s="45">
        <v>8</v>
      </c>
      <c r="M27" s="45">
        <v>12.5</v>
      </c>
      <c r="N27" s="45">
        <v>12.5</v>
      </c>
      <c r="O27" s="45">
        <v>12.5</v>
      </c>
      <c r="P27" s="45">
        <v>16</v>
      </c>
      <c r="Q27" s="45">
        <v>12.5</v>
      </c>
      <c r="R27" s="45">
        <v>12.5</v>
      </c>
      <c r="S27" s="45">
        <v>10</v>
      </c>
      <c r="T27" s="45">
        <v>10</v>
      </c>
      <c r="U27" s="45">
        <v>10</v>
      </c>
      <c r="V27" s="45">
        <v>6</v>
      </c>
      <c r="W27" s="45">
        <v>6</v>
      </c>
      <c r="X27" s="45">
        <v>6</v>
      </c>
      <c r="Y27" s="45">
        <v>12.5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25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7</v>
      </c>
      <c r="U33" s="45">
        <v>7</v>
      </c>
      <c r="V33" s="45">
        <v>4</v>
      </c>
      <c r="W33" s="45">
        <v>4</v>
      </c>
      <c r="X33" s="45">
        <v>4</v>
      </c>
      <c r="Y33" s="45">
        <v>10</v>
      </c>
      <c r="Z33" s="45">
        <v>10</v>
      </c>
      <c r="AA33" s="45">
        <v>14</v>
      </c>
      <c r="AB33" s="45">
        <v>14</v>
      </c>
      <c r="AC33" s="45">
        <v>14</v>
      </c>
      <c r="AD33" s="45">
        <v>14</v>
      </c>
      <c r="AE33" s="45">
        <v>14</v>
      </c>
      <c r="AF33" s="45">
        <v>5</v>
      </c>
      <c r="AG33" s="49">
        <v>20</v>
      </c>
      <c r="AH33" s="47">
        <f t="shared" si="2"/>
        <v>14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4.5</v>
      </c>
      <c r="N34" s="45">
        <v>4.5</v>
      </c>
      <c r="O34" s="45">
        <v>4.5</v>
      </c>
      <c r="P34" s="45">
        <v>4.5</v>
      </c>
      <c r="Q34" s="45">
        <v>4.5</v>
      </c>
      <c r="R34" s="45">
        <v>4.5</v>
      </c>
      <c r="S34" s="45">
        <v>4.5</v>
      </c>
      <c r="T34" s="45">
        <v>7</v>
      </c>
      <c r="U34" s="45">
        <v>7</v>
      </c>
      <c r="V34" s="45">
        <v>4</v>
      </c>
      <c r="W34" s="45">
        <v>4</v>
      </c>
      <c r="X34" s="45">
        <v>4</v>
      </c>
      <c r="Y34" s="45">
        <v>9</v>
      </c>
      <c r="Z34" s="45">
        <v>9</v>
      </c>
      <c r="AA34" s="45">
        <v>9</v>
      </c>
      <c r="AB34" s="45">
        <v>9</v>
      </c>
      <c r="AC34" s="45">
        <v>9</v>
      </c>
      <c r="AD34" s="45">
        <v>9</v>
      </c>
      <c r="AE34" s="45">
        <v>9</v>
      </c>
      <c r="AF34" s="45">
        <v>5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15.6</v>
      </c>
      <c r="C35" s="45">
        <v>15.6</v>
      </c>
      <c r="D35" s="45">
        <v>15.6</v>
      </c>
      <c r="E35" s="45">
        <v>15.6</v>
      </c>
      <c r="F35" s="45">
        <v>15.6</v>
      </c>
      <c r="G35" s="45">
        <v>15.6</v>
      </c>
      <c r="H35" s="45">
        <v>15.6</v>
      </c>
      <c r="I35" s="45">
        <v>15.6</v>
      </c>
      <c r="J35" s="45">
        <v>15.6</v>
      </c>
      <c r="K35" s="45">
        <v>15.6</v>
      </c>
      <c r="L35" s="45">
        <v>15.6</v>
      </c>
      <c r="M35" s="45">
        <v>15.6</v>
      </c>
      <c r="N35" s="45">
        <v>15.6</v>
      </c>
      <c r="O35" s="45">
        <v>15.6</v>
      </c>
      <c r="P35" s="45">
        <v>15.6</v>
      </c>
      <c r="Q35" s="45">
        <v>15.6</v>
      </c>
      <c r="R35" s="45">
        <v>15.6</v>
      </c>
      <c r="S35" s="45">
        <v>15.6</v>
      </c>
      <c r="T35" s="45">
        <v>15.6</v>
      </c>
      <c r="U35" s="45">
        <v>15.6</v>
      </c>
      <c r="V35" s="45">
        <v>15.6</v>
      </c>
      <c r="W35" s="45">
        <v>15.6</v>
      </c>
      <c r="X35" s="45">
        <v>15.6</v>
      </c>
      <c r="Y35" s="45">
        <v>15.6</v>
      </c>
      <c r="Z35" s="45">
        <v>15.6</v>
      </c>
      <c r="AA35" s="45">
        <v>15.6</v>
      </c>
      <c r="AB35" s="45">
        <v>15.6</v>
      </c>
      <c r="AC35" s="45">
        <v>15.6</v>
      </c>
      <c r="AD35" s="45">
        <v>15.6</v>
      </c>
      <c r="AE35" s="45">
        <v>15.6</v>
      </c>
      <c r="AF35" s="45">
        <v>15.6</v>
      </c>
      <c r="AG35" s="49">
        <v>14.9</v>
      </c>
      <c r="AH35" s="47">
        <f t="shared" si="2"/>
        <v>15.6</v>
      </c>
      <c r="AI35" s="48">
        <f t="shared" si="3"/>
        <v>15.6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4</v>
      </c>
      <c r="M39" s="45">
        <v>6</v>
      </c>
      <c r="N39" s="45">
        <v>6</v>
      </c>
      <c r="O39" s="45">
        <v>6</v>
      </c>
      <c r="P39" s="45">
        <v>8.1</v>
      </c>
      <c r="Q39" s="45">
        <v>6</v>
      </c>
      <c r="R39" s="45">
        <v>6</v>
      </c>
      <c r="S39" s="45">
        <v>8.4</v>
      </c>
      <c r="T39" s="45">
        <v>4.8</v>
      </c>
      <c r="U39" s="45">
        <v>4.8</v>
      </c>
      <c r="V39" s="45">
        <v>4</v>
      </c>
      <c r="W39" s="45">
        <v>4</v>
      </c>
      <c r="X39" s="45">
        <v>4</v>
      </c>
      <c r="Y39" s="45">
        <v>4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12</v>
      </c>
      <c r="AF39" s="45">
        <v>3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109.5</v>
      </c>
      <c r="C49" s="56">
        <v>109.5</v>
      </c>
      <c r="D49" s="56">
        <v>109.5</v>
      </c>
      <c r="E49" s="56">
        <v>109.5</v>
      </c>
      <c r="F49" s="56">
        <v>109.5</v>
      </c>
      <c r="G49" s="56">
        <v>109.5</v>
      </c>
      <c r="H49" s="56">
        <v>109.5</v>
      </c>
      <c r="I49" s="56">
        <v>109.5</v>
      </c>
      <c r="J49" s="56">
        <v>109.5</v>
      </c>
      <c r="K49" s="56">
        <v>109.5</v>
      </c>
      <c r="L49" s="56">
        <v>109.5</v>
      </c>
      <c r="M49" s="58">
        <f>34.7+85.6</f>
        <v>120.3</v>
      </c>
      <c r="N49" s="58">
        <f>85.1+34.4</f>
        <v>119.5</v>
      </c>
      <c r="O49" s="58">
        <f>82.2+31.7</f>
        <v>113.9</v>
      </c>
      <c r="P49" s="58">
        <f>86.5+35.2</f>
        <v>121.7</v>
      </c>
      <c r="Q49" s="58">
        <f>86.8+35.3</f>
        <v>122.1</v>
      </c>
      <c r="R49" s="58">
        <f>86.8+35.3</f>
        <v>122.1</v>
      </c>
      <c r="S49" s="58">
        <f>86.8+35.3</f>
        <v>122.1</v>
      </c>
      <c r="T49" s="58">
        <f>86.8+35.3</f>
        <v>122.1</v>
      </c>
      <c r="U49" s="58">
        <f>33.4+81.3</f>
        <v>114.69999999999999</v>
      </c>
      <c r="V49" s="58">
        <f>33.4+81.3</f>
        <v>114.69999999999999</v>
      </c>
      <c r="W49" s="58">
        <v>122</v>
      </c>
      <c r="X49" s="58">
        <v>122</v>
      </c>
      <c r="Y49" s="56">
        <v>118.5</v>
      </c>
      <c r="Z49" s="56">
        <v>118.5</v>
      </c>
      <c r="AA49" s="56">
        <v>118</v>
      </c>
      <c r="AB49" s="56">
        <v>118</v>
      </c>
      <c r="AC49" s="56">
        <v>118</v>
      </c>
      <c r="AD49" s="56">
        <v>118</v>
      </c>
      <c r="AE49" s="56">
        <v>118</v>
      </c>
      <c r="AF49" s="56">
        <v>118</v>
      </c>
      <c r="AG49" s="54">
        <v>240</v>
      </c>
      <c r="AH49" s="47">
        <f t="shared" si="2"/>
        <v>122.1</v>
      </c>
      <c r="AI49" s="48">
        <f t="shared" si="3"/>
        <v>109.5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1075.3000000000002</v>
      </c>
      <c r="C50" s="60">
        <f t="shared" si="4"/>
        <v>1075.3000000000002</v>
      </c>
      <c r="D50" s="60">
        <f t="shared" si="4"/>
        <v>1075.3000000000002</v>
      </c>
      <c r="E50" s="60">
        <f t="shared" ref="E50:K50" si="5">SUM(E11:E48)</f>
        <v>1075.3000000000002</v>
      </c>
      <c r="F50" s="60">
        <f t="shared" si="5"/>
        <v>1075.3000000000002</v>
      </c>
      <c r="G50" s="60">
        <f t="shared" si="5"/>
        <v>1081.3000000000002</v>
      </c>
      <c r="H50" s="60">
        <f t="shared" si="5"/>
        <v>1101.4000000000001</v>
      </c>
      <c r="I50" s="60">
        <f t="shared" si="5"/>
        <v>1101.4000000000001</v>
      </c>
      <c r="J50" s="60">
        <f t="shared" si="5"/>
        <v>1115.5999999999999</v>
      </c>
      <c r="K50" s="60">
        <f t="shared" si="5"/>
        <v>1119.3000000000002</v>
      </c>
      <c r="L50" s="60">
        <f t="shared" si="4"/>
        <v>1139.5999999999999</v>
      </c>
      <c r="M50" s="60">
        <f t="shared" si="4"/>
        <v>1146.5999999999999</v>
      </c>
      <c r="N50" s="60">
        <f t="shared" si="4"/>
        <v>1161.5999999999999</v>
      </c>
      <c r="O50" s="60">
        <f t="shared" si="4"/>
        <v>1167.7</v>
      </c>
      <c r="P50" s="60">
        <f t="shared" si="4"/>
        <v>1175</v>
      </c>
      <c r="Q50" s="60">
        <f t="shared" si="4"/>
        <v>1159.0999999999999</v>
      </c>
      <c r="R50" s="60">
        <f t="shared" si="4"/>
        <v>1159.0999999999999</v>
      </c>
      <c r="S50" s="60">
        <f t="shared" si="4"/>
        <v>1155.5</v>
      </c>
      <c r="T50" s="60">
        <f t="shared" si="4"/>
        <v>1162.9000000000001</v>
      </c>
      <c r="U50" s="60">
        <f t="shared" si="4"/>
        <v>1162.9000000000001</v>
      </c>
      <c r="V50" s="60">
        <f t="shared" si="4"/>
        <v>1144.4000000000001</v>
      </c>
      <c r="W50" s="60">
        <f t="shared" si="4"/>
        <v>1144.4000000000001</v>
      </c>
      <c r="X50" s="60">
        <f t="shared" si="4"/>
        <v>1152.4000000000001</v>
      </c>
      <c r="Y50" s="60">
        <f t="shared" si="4"/>
        <v>1184.0999999999999</v>
      </c>
      <c r="Z50" s="60">
        <f t="shared" si="4"/>
        <v>1241.5999999999999</v>
      </c>
      <c r="AA50" s="60">
        <f t="shared" si="4"/>
        <v>1233.5999999999999</v>
      </c>
      <c r="AB50" s="60">
        <f>SUM(AB11:AB48)</f>
        <v>1233.5999999999999</v>
      </c>
      <c r="AC50" s="60">
        <f t="shared" si="4"/>
        <v>1233.5999999999999</v>
      </c>
      <c r="AD50" s="60">
        <f t="shared" si="4"/>
        <v>1233.5999999999999</v>
      </c>
      <c r="AE50" s="60">
        <f t="shared" si="4"/>
        <v>1233.5999999999999</v>
      </c>
      <c r="AF50" s="60">
        <f t="shared" si="4"/>
        <v>1137.5999999999999</v>
      </c>
      <c r="AG50" s="61">
        <f>SUM(AG13:AG48)</f>
        <v>922.14</v>
      </c>
      <c r="AH50" s="47">
        <f t="shared" si="2"/>
        <v>1241.5999999999999</v>
      </c>
      <c r="AI50" s="48">
        <f t="shared" si="3"/>
        <v>1075.3000000000002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55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538</v>
      </c>
      <c r="C54" s="60">
        <f t="shared" si="6"/>
        <v>538</v>
      </c>
      <c r="D54" s="60">
        <f t="shared" si="6"/>
        <v>538</v>
      </c>
      <c r="E54" s="60">
        <f t="shared" si="6"/>
        <v>538</v>
      </c>
      <c r="F54" s="60">
        <f>SUM(F51:F53)</f>
        <v>538</v>
      </c>
      <c r="G54" s="60">
        <f t="shared" si="6"/>
        <v>538</v>
      </c>
      <c r="H54" s="60">
        <f t="shared" si="6"/>
        <v>538</v>
      </c>
      <c r="I54" s="60">
        <f t="shared" si="6"/>
        <v>538</v>
      </c>
      <c r="J54" s="60">
        <f>SUM(J51:J53)</f>
        <v>538</v>
      </c>
      <c r="K54" s="60">
        <f>SUM(K51:K53)</f>
        <v>538</v>
      </c>
      <c r="L54" s="60">
        <f t="shared" si="6"/>
        <v>538</v>
      </c>
      <c r="M54" s="60">
        <f t="shared" si="6"/>
        <v>538</v>
      </c>
      <c r="N54" s="60">
        <f t="shared" si="6"/>
        <v>538</v>
      </c>
      <c r="O54" s="60">
        <f t="shared" si="6"/>
        <v>538</v>
      </c>
      <c r="P54" s="60">
        <f t="shared" si="6"/>
        <v>538</v>
      </c>
      <c r="Q54" s="60">
        <f t="shared" si="6"/>
        <v>538</v>
      </c>
      <c r="R54" s="60">
        <f t="shared" si="6"/>
        <v>538</v>
      </c>
      <c r="S54" s="60">
        <f t="shared" si="6"/>
        <v>538</v>
      </c>
      <c r="T54" s="60">
        <f t="shared" si="6"/>
        <v>538</v>
      </c>
      <c r="U54" s="60">
        <f t="shared" si="6"/>
        <v>538</v>
      </c>
      <c r="V54" s="60">
        <f t="shared" si="6"/>
        <v>538</v>
      </c>
      <c r="W54" s="60">
        <f t="shared" si="6"/>
        <v>538</v>
      </c>
      <c r="X54" s="60">
        <f t="shared" si="6"/>
        <v>538</v>
      </c>
      <c r="Y54" s="60">
        <f t="shared" si="6"/>
        <v>538</v>
      </c>
      <c r="Z54" s="60">
        <f t="shared" si="6"/>
        <v>538</v>
      </c>
      <c r="AA54" s="60">
        <f t="shared" si="6"/>
        <v>538</v>
      </c>
      <c r="AB54" s="60">
        <f>SUM(AB51:AB53)</f>
        <v>538</v>
      </c>
      <c r="AC54" s="60">
        <f t="shared" si="6"/>
        <v>538</v>
      </c>
      <c r="AD54" s="60">
        <f t="shared" si="6"/>
        <v>538</v>
      </c>
      <c r="AE54" s="60">
        <f t="shared" si="6"/>
        <v>538</v>
      </c>
      <c r="AF54" s="60">
        <f t="shared" si="6"/>
        <v>533</v>
      </c>
      <c r="AG54" s="61">
        <f t="shared" si="6"/>
        <v>538.1</v>
      </c>
      <c r="AH54" s="47">
        <f t="shared" si="2"/>
        <v>538</v>
      </c>
      <c r="AI54" s="48">
        <f t="shared" si="3"/>
        <v>533</v>
      </c>
      <c r="AK54" s="50"/>
    </row>
    <row r="55" spans="1:41" x14ac:dyDescent="0.25">
      <c r="A55" s="44" t="s">
        <v>63</v>
      </c>
      <c r="B55" s="45">
        <v>140</v>
      </c>
      <c r="C55" s="45">
        <v>140</v>
      </c>
      <c r="D55" s="45">
        <v>140</v>
      </c>
      <c r="E55" s="45">
        <v>139.30000000000001</v>
      </c>
      <c r="F55" s="45">
        <v>139.30000000000001</v>
      </c>
      <c r="G55" s="45">
        <v>139.30000000000001</v>
      </c>
      <c r="H55" s="45">
        <v>139.30000000000001</v>
      </c>
      <c r="I55" s="45">
        <v>139.30000000000001</v>
      </c>
      <c r="J55" s="45">
        <v>139.30000000000001</v>
      </c>
      <c r="K55" s="45">
        <v>139.30000000000001</v>
      </c>
      <c r="L55" s="45">
        <v>139.30000000000001</v>
      </c>
      <c r="M55" s="45">
        <v>139.30000000000001</v>
      </c>
      <c r="N55" s="45">
        <v>142.30000000000001</v>
      </c>
      <c r="O55" s="45">
        <v>142.30000000000001</v>
      </c>
      <c r="P55" s="45">
        <v>142.30000000000001</v>
      </c>
      <c r="Q55" s="45">
        <v>142.30000000000001</v>
      </c>
      <c r="R55" s="45">
        <v>142.30000000000001</v>
      </c>
      <c r="S55" s="45">
        <v>142.30000000000001</v>
      </c>
      <c r="T55" s="45">
        <v>142.30000000000001</v>
      </c>
      <c r="U55" s="45">
        <v>141.5</v>
      </c>
      <c r="V55" s="45">
        <v>141.5</v>
      </c>
      <c r="W55" s="45">
        <v>141.5</v>
      </c>
      <c r="X55" s="45">
        <v>141.5</v>
      </c>
      <c r="Y55" s="45">
        <v>141.5</v>
      </c>
      <c r="Z55" s="45">
        <v>141.5</v>
      </c>
      <c r="AA55" s="45">
        <v>141.5</v>
      </c>
      <c r="AB55" s="45">
        <v>141.5</v>
      </c>
      <c r="AC55" s="45">
        <v>141.5</v>
      </c>
      <c r="AD55" s="45">
        <v>141.5</v>
      </c>
      <c r="AE55" s="45">
        <v>141.5</v>
      </c>
      <c r="AF55" s="45">
        <v>142</v>
      </c>
      <c r="AG55" s="51">
        <v>144</v>
      </c>
      <c r="AH55" s="47">
        <f t="shared" si="2"/>
        <v>142.30000000000001</v>
      </c>
      <c r="AI55" s="48">
        <f t="shared" si="3"/>
        <v>139.30000000000001</v>
      </c>
      <c r="AK55" s="50"/>
    </row>
    <row r="56" spans="1:41" x14ac:dyDescent="0.25">
      <c r="A56" s="53" t="s">
        <v>64</v>
      </c>
      <c r="B56" s="64">
        <v>69.7</v>
      </c>
      <c r="C56" s="64">
        <v>69.7</v>
      </c>
      <c r="D56" s="64">
        <v>69.7</v>
      </c>
      <c r="E56" s="64">
        <v>69.7</v>
      </c>
      <c r="F56" s="64">
        <v>69.7</v>
      </c>
      <c r="G56" s="64">
        <v>69.7</v>
      </c>
      <c r="H56" s="64">
        <v>69.7</v>
      </c>
      <c r="I56" s="64">
        <v>69.7</v>
      </c>
      <c r="J56" s="64">
        <v>69.7</v>
      </c>
      <c r="K56" s="64">
        <v>69.7</v>
      </c>
      <c r="L56" s="64">
        <v>69.7</v>
      </c>
      <c r="M56" s="64">
        <v>69.7</v>
      </c>
      <c r="N56" s="64">
        <v>70.8</v>
      </c>
      <c r="O56" s="64">
        <v>70.8</v>
      </c>
      <c r="P56" s="64">
        <v>70.8</v>
      </c>
      <c r="Q56" s="64">
        <v>70.8</v>
      </c>
      <c r="R56" s="64">
        <v>70.8</v>
      </c>
      <c r="S56" s="64">
        <v>70.8</v>
      </c>
      <c r="T56" s="64">
        <v>67.8</v>
      </c>
      <c r="U56" s="64">
        <v>67.900000000000006</v>
      </c>
      <c r="V56" s="64">
        <v>67.900000000000006</v>
      </c>
      <c r="W56" s="64">
        <v>56</v>
      </c>
      <c r="X56" s="64">
        <v>68.599999999999994</v>
      </c>
      <c r="Y56" s="64">
        <v>68.599999999999994</v>
      </c>
      <c r="Z56" s="64">
        <v>68.599999999999994</v>
      </c>
      <c r="AA56" s="45">
        <v>68.599999999999994</v>
      </c>
      <c r="AB56" s="45">
        <v>68.599999999999994</v>
      </c>
      <c r="AC56" s="45">
        <v>68.599999999999994</v>
      </c>
      <c r="AD56" s="45">
        <v>68.599999999999994</v>
      </c>
      <c r="AE56" s="45">
        <v>55</v>
      </c>
      <c r="AF56" s="45">
        <v>65</v>
      </c>
      <c r="AG56" s="54">
        <v>70</v>
      </c>
      <c r="AH56" s="47">
        <f t="shared" si="2"/>
        <v>70.8</v>
      </c>
      <c r="AI56" s="48">
        <f t="shared" si="3"/>
        <v>55</v>
      </c>
      <c r="AK56" s="50"/>
    </row>
    <row r="57" spans="1:41" x14ac:dyDescent="0.25">
      <c r="A57" s="53" t="s">
        <v>65</v>
      </c>
      <c r="B57" s="64">
        <v>65.3</v>
      </c>
      <c r="C57" s="64">
        <v>65.3</v>
      </c>
      <c r="D57" s="64">
        <v>65.3</v>
      </c>
      <c r="E57" s="64">
        <v>65.3</v>
      </c>
      <c r="F57" s="64">
        <v>65.3</v>
      </c>
      <c r="G57" s="64">
        <v>65.3</v>
      </c>
      <c r="H57" s="64">
        <v>65.3</v>
      </c>
      <c r="I57" s="64">
        <v>65.3</v>
      </c>
      <c r="J57" s="64">
        <v>65.3</v>
      </c>
      <c r="K57" s="64">
        <v>65.3</v>
      </c>
      <c r="L57" s="64">
        <v>65.3</v>
      </c>
      <c r="M57" s="64">
        <v>65.3</v>
      </c>
      <c r="N57" s="64">
        <v>65.3</v>
      </c>
      <c r="O57" s="64">
        <v>65.3</v>
      </c>
      <c r="P57" s="64">
        <v>65.3</v>
      </c>
      <c r="Q57" s="64">
        <v>65.3</v>
      </c>
      <c r="R57" s="64">
        <v>65.3</v>
      </c>
      <c r="S57" s="64">
        <v>65.3</v>
      </c>
      <c r="T57" s="64">
        <v>65.3</v>
      </c>
      <c r="U57" s="64">
        <v>65.8</v>
      </c>
      <c r="V57" s="64">
        <v>52.4</v>
      </c>
      <c r="W57" s="64">
        <v>66</v>
      </c>
      <c r="X57" s="64">
        <v>66</v>
      </c>
      <c r="Y57" s="64">
        <v>66</v>
      </c>
      <c r="Z57" s="64">
        <v>66</v>
      </c>
      <c r="AA57" s="45">
        <v>66</v>
      </c>
      <c r="AB57" s="45">
        <v>66</v>
      </c>
      <c r="AC57" s="45">
        <v>66</v>
      </c>
      <c r="AD57" s="45">
        <v>66</v>
      </c>
      <c r="AE57" s="45">
        <v>51</v>
      </c>
      <c r="AF57" s="45">
        <v>51</v>
      </c>
      <c r="AG57" s="54">
        <v>69</v>
      </c>
      <c r="AH57" s="47">
        <f t="shared" si="2"/>
        <v>66</v>
      </c>
      <c r="AI57" s="48">
        <f t="shared" si="3"/>
        <v>51</v>
      </c>
      <c r="AK57" s="50"/>
    </row>
    <row r="58" spans="1:41" x14ac:dyDescent="0.25">
      <c r="A58" s="53" t="s">
        <v>66</v>
      </c>
      <c r="B58" s="64">
        <v>60.7</v>
      </c>
      <c r="C58" s="64">
        <v>60.7</v>
      </c>
      <c r="D58" s="64">
        <v>60.7</v>
      </c>
      <c r="E58" s="64">
        <v>60.7</v>
      </c>
      <c r="F58" s="64">
        <v>60.7</v>
      </c>
      <c r="G58" s="64">
        <v>60.7</v>
      </c>
      <c r="H58" s="64">
        <v>60.7</v>
      </c>
      <c r="I58" s="64">
        <v>60.7</v>
      </c>
      <c r="J58" s="64">
        <v>60.7</v>
      </c>
      <c r="K58" s="64">
        <v>60.7</v>
      </c>
      <c r="L58" s="64">
        <v>60.7</v>
      </c>
      <c r="M58" s="64">
        <v>60.7</v>
      </c>
      <c r="N58" s="64">
        <v>60.7</v>
      </c>
      <c r="O58" s="64">
        <v>60.7</v>
      </c>
      <c r="P58" s="64">
        <v>60.7</v>
      </c>
      <c r="Q58" s="64">
        <v>60.7</v>
      </c>
      <c r="R58" s="64">
        <v>60.7</v>
      </c>
      <c r="S58" s="64">
        <v>60.7</v>
      </c>
      <c r="T58" s="64">
        <v>60.7</v>
      </c>
      <c r="U58" s="64">
        <v>61.2</v>
      </c>
      <c r="V58" s="64">
        <v>50.4</v>
      </c>
      <c r="W58" s="64">
        <v>60</v>
      </c>
      <c r="X58" s="64">
        <v>60</v>
      </c>
      <c r="Y58" s="64">
        <v>60</v>
      </c>
      <c r="Z58" s="64">
        <v>60</v>
      </c>
      <c r="AA58" s="45">
        <v>60</v>
      </c>
      <c r="AB58" s="45">
        <v>60</v>
      </c>
      <c r="AC58" s="45">
        <v>60</v>
      </c>
      <c r="AD58" s="45">
        <v>60</v>
      </c>
      <c r="AE58" s="45">
        <v>60</v>
      </c>
      <c r="AF58" s="45">
        <v>60</v>
      </c>
      <c r="AG58" s="54">
        <v>60</v>
      </c>
      <c r="AH58" s="47">
        <f t="shared" si="2"/>
        <v>61.2</v>
      </c>
      <c r="AI58" s="48">
        <f t="shared" si="3"/>
        <v>50.4</v>
      </c>
      <c r="AK58" s="50"/>
    </row>
    <row r="59" spans="1:41" x14ac:dyDescent="0.25">
      <c r="A59" s="53" t="s">
        <v>67</v>
      </c>
      <c r="B59" s="64">
        <v>28.6</v>
      </c>
      <c r="C59" s="64">
        <v>28.6</v>
      </c>
      <c r="D59" s="64">
        <v>28.6</v>
      </c>
      <c r="E59" s="64">
        <v>28.6</v>
      </c>
      <c r="F59" s="64">
        <v>28.6</v>
      </c>
      <c r="G59" s="64">
        <v>28.6</v>
      </c>
      <c r="H59" s="64">
        <v>28.6</v>
      </c>
      <c r="I59" s="64">
        <v>28.6</v>
      </c>
      <c r="J59" s="64">
        <v>28.6</v>
      </c>
      <c r="K59" s="64">
        <v>28.6</v>
      </c>
      <c r="L59" s="64">
        <v>28.6</v>
      </c>
      <c r="M59" s="64">
        <v>28.6</v>
      </c>
      <c r="N59" s="64">
        <v>28.6</v>
      </c>
      <c r="O59" s="64">
        <v>28.6</v>
      </c>
      <c r="P59" s="64">
        <v>28.6</v>
      </c>
      <c r="Q59" s="64">
        <v>28.6</v>
      </c>
      <c r="R59" s="64">
        <v>28.6</v>
      </c>
      <c r="S59" s="64">
        <v>28.6</v>
      </c>
      <c r="T59" s="64">
        <v>28.6</v>
      </c>
      <c r="U59" s="64">
        <v>28.6</v>
      </c>
      <c r="V59" s="64">
        <v>28.6</v>
      </c>
      <c r="W59" s="64">
        <v>28.6</v>
      </c>
      <c r="X59" s="64">
        <v>28.6</v>
      </c>
      <c r="Y59" s="64">
        <v>28.6</v>
      </c>
      <c r="Z59" s="64">
        <v>28.6</v>
      </c>
      <c r="AA59" s="45">
        <v>28.6</v>
      </c>
      <c r="AB59" s="45">
        <v>28.6</v>
      </c>
      <c r="AC59" s="45">
        <v>28.6</v>
      </c>
      <c r="AD59" s="45">
        <v>28.6</v>
      </c>
      <c r="AE59" s="45">
        <v>28.6</v>
      </c>
      <c r="AF59" s="45">
        <v>28.6</v>
      </c>
      <c r="AG59" s="54">
        <v>30</v>
      </c>
      <c r="AH59" s="47">
        <f t="shared" si="2"/>
        <v>28.6</v>
      </c>
      <c r="AI59" s="48">
        <f t="shared" si="3"/>
        <v>28.6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14.9</v>
      </c>
      <c r="O60" s="64">
        <v>9.4</v>
      </c>
      <c r="P60" s="64">
        <v>17</v>
      </c>
      <c r="Q60" s="64">
        <v>17</v>
      </c>
      <c r="R60" s="64">
        <v>17</v>
      </c>
      <c r="S60" s="64">
        <v>17</v>
      </c>
      <c r="T60" s="64">
        <v>9.3000000000000007</v>
      </c>
      <c r="U60" s="64">
        <v>3.3</v>
      </c>
      <c r="V60" s="64">
        <v>2.5</v>
      </c>
      <c r="W60" s="64">
        <v>0.8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8.9</v>
      </c>
      <c r="C63" s="64">
        <v>8.9</v>
      </c>
      <c r="D63" s="64">
        <v>8.9</v>
      </c>
      <c r="E63" s="64">
        <v>8.9</v>
      </c>
      <c r="F63" s="64">
        <v>8.9</v>
      </c>
      <c r="G63" s="64">
        <v>8.9</v>
      </c>
      <c r="H63" s="64">
        <v>8.9</v>
      </c>
      <c r="I63" s="64">
        <v>8.9</v>
      </c>
      <c r="J63" s="64">
        <v>8.9</v>
      </c>
      <c r="K63" s="64">
        <v>8.9</v>
      </c>
      <c r="L63" s="64">
        <v>8.9</v>
      </c>
      <c r="M63" s="64">
        <v>8.9</v>
      </c>
      <c r="N63" s="64">
        <v>8.9</v>
      </c>
      <c r="O63" s="64">
        <v>9.3000000000000007</v>
      </c>
      <c r="P63" s="64">
        <v>9.3000000000000007</v>
      </c>
      <c r="Q63" s="64">
        <v>9.3000000000000007</v>
      </c>
      <c r="R63" s="64">
        <v>9.3000000000000007</v>
      </c>
      <c r="S63" s="64">
        <v>9.3000000000000007</v>
      </c>
      <c r="T63" s="64">
        <v>9.3000000000000007</v>
      </c>
      <c r="U63" s="64">
        <v>9.3000000000000007</v>
      </c>
      <c r="V63" s="64">
        <v>9.3000000000000007</v>
      </c>
      <c r="W63" s="64">
        <v>9.3000000000000007</v>
      </c>
      <c r="X63" s="64">
        <v>10.8</v>
      </c>
      <c r="Y63" s="64">
        <v>10.8</v>
      </c>
      <c r="Z63" s="64">
        <v>10.8</v>
      </c>
      <c r="AA63" s="64">
        <v>10.8</v>
      </c>
      <c r="AB63" s="64">
        <v>10.8</v>
      </c>
      <c r="AC63" s="64">
        <v>10.8</v>
      </c>
      <c r="AD63" s="64">
        <v>10.8</v>
      </c>
      <c r="AE63" s="64">
        <v>10.8</v>
      </c>
      <c r="AF63" s="64">
        <v>10.8</v>
      </c>
      <c r="AG63" s="54">
        <v>14.1</v>
      </c>
      <c r="AH63" s="47">
        <f t="shared" si="2"/>
        <v>10.8</v>
      </c>
      <c r="AI63" s="48">
        <f t="shared" si="3"/>
        <v>8.9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</v>
      </c>
      <c r="C64" s="64">
        <v>10</v>
      </c>
      <c r="D64" s="64">
        <v>10</v>
      </c>
      <c r="E64" s="64">
        <v>10</v>
      </c>
      <c r="F64" s="64">
        <v>10</v>
      </c>
      <c r="G64" s="64">
        <v>10</v>
      </c>
      <c r="H64" s="64">
        <v>10</v>
      </c>
      <c r="I64" s="64">
        <v>10</v>
      </c>
      <c r="J64" s="64">
        <v>10</v>
      </c>
      <c r="K64" s="64">
        <v>10</v>
      </c>
      <c r="L64" s="64">
        <v>10</v>
      </c>
      <c r="M64" s="64">
        <v>13.8</v>
      </c>
      <c r="N64" s="64">
        <v>13.8</v>
      </c>
      <c r="O64" s="64">
        <v>13.8</v>
      </c>
      <c r="P64" s="64">
        <v>13.8</v>
      </c>
      <c r="Q64" s="64">
        <v>13.8</v>
      </c>
      <c r="R64" s="64">
        <v>13.8</v>
      </c>
      <c r="S64" s="64">
        <v>13.8</v>
      </c>
      <c r="T64" s="64">
        <v>13.8</v>
      </c>
      <c r="U64" s="64">
        <v>13.8</v>
      </c>
      <c r="V64" s="64">
        <v>13.8</v>
      </c>
      <c r="W64" s="64">
        <v>13.8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10</v>
      </c>
      <c r="AF64" s="64">
        <v>10</v>
      </c>
      <c r="AG64" s="54">
        <v>14</v>
      </c>
      <c r="AH64" s="47">
        <f t="shared" si="2"/>
        <v>14</v>
      </c>
      <c r="AI64" s="48">
        <f t="shared" si="3"/>
        <v>10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420.94</v>
      </c>
      <c r="C68" s="60">
        <f t="shared" si="7"/>
        <v>420.94</v>
      </c>
      <c r="D68" s="60">
        <f t="shared" si="7"/>
        <v>420.94</v>
      </c>
      <c r="E68" s="60">
        <f t="shared" si="7"/>
        <v>420.24</v>
      </c>
      <c r="F68" s="60">
        <f t="shared" si="7"/>
        <v>420.24</v>
      </c>
      <c r="G68" s="60">
        <f t="shared" si="7"/>
        <v>420.24</v>
      </c>
      <c r="H68" s="60">
        <f t="shared" si="7"/>
        <v>420.24</v>
      </c>
      <c r="I68" s="60">
        <f t="shared" si="7"/>
        <v>420.24</v>
      </c>
      <c r="J68" s="60">
        <f>SUM(J55:J67)</f>
        <v>420.24</v>
      </c>
      <c r="K68" s="60">
        <f>SUM(K55:K67)</f>
        <v>420.24</v>
      </c>
      <c r="L68" s="60">
        <f t="shared" si="7"/>
        <v>420.24</v>
      </c>
      <c r="M68" s="60">
        <f t="shared" si="7"/>
        <v>424.04</v>
      </c>
      <c r="N68" s="60">
        <f t="shared" si="7"/>
        <v>443.04</v>
      </c>
      <c r="O68" s="60">
        <f t="shared" si="7"/>
        <v>437.94000000000005</v>
      </c>
      <c r="P68" s="60">
        <f t="shared" si="7"/>
        <v>440.54000000000008</v>
      </c>
      <c r="Q68" s="60">
        <f t="shared" si="7"/>
        <v>440.54000000000008</v>
      </c>
      <c r="R68" s="60">
        <f t="shared" si="7"/>
        <v>440.54000000000008</v>
      </c>
      <c r="S68" s="60">
        <f t="shared" si="7"/>
        <v>440.54000000000008</v>
      </c>
      <c r="T68" s="60">
        <f t="shared" si="7"/>
        <v>429.84000000000009</v>
      </c>
      <c r="U68" s="60">
        <f t="shared" si="7"/>
        <v>424.14000000000004</v>
      </c>
      <c r="V68" s="60">
        <f t="shared" si="7"/>
        <v>399.14000000000004</v>
      </c>
      <c r="W68" s="60">
        <f t="shared" si="7"/>
        <v>408.74000000000007</v>
      </c>
      <c r="X68" s="60">
        <f t="shared" si="7"/>
        <v>422.24000000000007</v>
      </c>
      <c r="Y68" s="60">
        <f t="shared" si="7"/>
        <v>422.24000000000007</v>
      </c>
      <c r="Z68" s="60">
        <f t="shared" si="7"/>
        <v>422.24000000000007</v>
      </c>
      <c r="AA68" s="60">
        <f t="shared" si="7"/>
        <v>422.24000000000007</v>
      </c>
      <c r="AB68" s="60">
        <f>SUM(AB55:AB67)</f>
        <v>422.24000000000007</v>
      </c>
      <c r="AC68" s="60">
        <f t="shared" si="7"/>
        <v>422.24000000000007</v>
      </c>
      <c r="AD68" s="60">
        <f t="shared" si="7"/>
        <v>422.24000000000007</v>
      </c>
      <c r="AE68" s="60">
        <f t="shared" si="7"/>
        <v>389.64000000000004</v>
      </c>
      <c r="AF68" s="60">
        <f t="shared" si="7"/>
        <v>400.14000000000004</v>
      </c>
      <c r="AG68" s="61">
        <f t="shared" si="7"/>
        <v>489.91</v>
      </c>
      <c r="AH68" s="47">
        <f t="shared" si="2"/>
        <v>443.04</v>
      </c>
      <c r="AI68" s="48">
        <f t="shared" si="3"/>
        <v>389.64000000000004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>
        <v>10</v>
      </c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10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>
        <v>4.4000000000000004</v>
      </c>
      <c r="R70" s="64"/>
      <c r="S70" s="64"/>
      <c r="T70" s="64"/>
      <c r="U70" s="64"/>
      <c r="V70" s="64"/>
      <c r="W70" s="64"/>
      <c r="X70" s="64"/>
      <c r="Y70" s="64"/>
      <c r="Z70" s="64">
        <v>4.5</v>
      </c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4.5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>
        <v>1.6</v>
      </c>
      <c r="R71" s="66"/>
      <c r="S71" s="66"/>
      <c r="T71" s="66"/>
      <c r="U71" s="66"/>
      <c r="V71" s="66"/>
      <c r="W71" s="66"/>
      <c r="X71" s="66"/>
      <c r="Y71" s="66"/>
      <c r="Z71" s="66">
        <v>1.6</v>
      </c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1.6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16</v>
      </c>
      <c r="R72" s="60">
        <f t="shared" si="8"/>
        <v>0</v>
      </c>
      <c r="S72" s="60">
        <f t="shared" si="8"/>
        <v>0</v>
      </c>
      <c r="T72" s="60">
        <f t="shared" si="8"/>
        <v>0</v>
      </c>
      <c r="U72" s="60">
        <f t="shared" si="8"/>
        <v>0</v>
      </c>
      <c r="V72" s="60">
        <f t="shared" si="8"/>
        <v>0</v>
      </c>
      <c r="W72" s="60">
        <f t="shared" si="8"/>
        <v>0</v>
      </c>
      <c r="X72" s="60">
        <f t="shared" si="8"/>
        <v>0</v>
      </c>
      <c r="Y72" s="60">
        <f t="shared" si="8"/>
        <v>0</v>
      </c>
      <c r="Z72" s="60">
        <f t="shared" si="8"/>
        <v>6.1</v>
      </c>
      <c r="AA72" s="60">
        <f t="shared" si="8"/>
        <v>0</v>
      </c>
      <c r="AB72" s="60">
        <f>AB69+AB70+AB71</f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16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9.1999999999999993</v>
      </c>
      <c r="C73" s="45">
        <v>4</v>
      </c>
      <c r="D73" s="45">
        <v>1.2</v>
      </c>
      <c r="E73" s="45">
        <v>3.4</v>
      </c>
      <c r="F73" s="45">
        <v>2.4</v>
      </c>
      <c r="G73" s="45">
        <v>1.2</v>
      </c>
      <c r="H73" s="45">
        <v>1.2</v>
      </c>
      <c r="I73" s="45">
        <v>2</v>
      </c>
      <c r="J73" s="45">
        <v>2</v>
      </c>
      <c r="K73" s="45">
        <v>1.2</v>
      </c>
      <c r="L73" s="45">
        <v>3.8</v>
      </c>
      <c r="M73" s="45">
        <v>10</v>
      </c>
      <c r="N73" s="45">
        <v>-22</v>
      </c>
      <c r="O73" s="45">
        <v>-15</v>
      </c>
      <c r="P73" s="45">
        <v>-2</v>
      </c>
      <c r="Q73" s="45">
        <v>0</v>
      </c>
      <c r="R73" s="45"/>
      <c r="S73" s="45">
        <v>-2.9</v>
      </c>
      <c r="T73" s="45">
        <v>-9.4</v>
      </c>
      <c r="U73" s="45">
        <v>-9.1</v>
      </c>
      <c r="V73" s="45">
        <v>-12.2</v>
      </c>
      <c r="W73" s="45">
        <v>-12.3</v>
      </c>
      <c r="X73" s="45">
        <v>-17</v>
      </c>
      <c r="Y73" s="45">
        <v>-12.8</v>
      </c>
      <c r="Z73" s="45">
        <v>32</v>
      </c>
      <c r="AA73" s="45">
        <v>43</v>
      </c>
      <c r="AB73" s="45">
        <v>44.8</v>
      </c>
      <c r="AC73" s="45">
        <v>45</v>
      </c>
      <c r="AD73" s="45">
        <v>3</v>
      </c>
      <c r="AE73" s="45">
        <v>7</v>
      </c>
      <c r="AF73" s="45">
        <v>5</v>
      </c>
      <c r="AG73" s="51"/>
      <c r="AH73" s="47">
        <f t="shared" si="2"/>
        <v>45</v>
      </c>
      <c r="AI73" s="48">
        <f t="shared" si="3"/>
        <v>-22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/>
      <c r="G74" s="64"/>
      <c r="H74" s="64">
        <v>0</v>
      </c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-328</v>
      </c>
      <c r="C75" s="64">
        <v>-333</v>
      </c>
      <c r="D75" s="64">
        <v>-347</v>
      </c>
      <c r="E75" s="64">
        <v>-360</v>
      </c>
      <c r="F75" s="64">
        <v>-391</v>
      </c>
      <c r="G75" s="64">
        <v>-407.8</v>
      </c>
      <c r="H75" s="64">
        <v>-443</v>
      </c>
      <c r="I75" s="64">
        <v>-470</v>
      </c>
      <c r="J75" s="64">
        <v>-459</v>
      </c>
      <c r="K75" s="64">
        <v>-469</v>
      </c>
      <c r="L75" s="64">
        <v>-475</v>
      </c>
      <c r="M75" s="64">
        <v>-445.4</v>
      </c>
      <c r="N75" s="64">
        <v>-421.5</v>
      </c>
      <c r="O75" s="64">
        <v>-377</v>
      </c>
      <c r="P75" s="64">
        <v>-414</v>
      </c>
      <c r="Q75" s="64">
        <v>-381.2</v>
      </c>
      <c r="R75" s="64"/>
      <c r="S75" s="64">
        <v>-376</v>
      </c>
      <c r="T75" s="64">
        <v>-397</v>
      </c>
      <c r="U75" s="64">
        <v>-400</v>
      </c>
      <c r="V75" s="64">
        <v>-457</v>
      </c>
      <c r="W75" s="64">
        <v>-472</v>
      </c>
      <c r="X75" s="64">
        <v>-449</v>
      </c>
      <c r="Y75" s="64">
        <v>-403</v>
      </c>
      <c r="Z75" s="64">
        <v>-374</v>
      </c>
      <c r="AA75" s="64">
        <v>-343</v>
      </c>
      <c r="AB75" s="64">
        <v>-337.8</v>
      </c>
      <c r="AC75" s="64">
        <v>-315</v>
      </c>
      <c r="AD75" s="64">
        <v>-290</v>
      </c>
      <c r="AE75" s="64">
        <v>-300</v>
      </c>
      <c r="AF75" s="64">
        <v>-290</v>
      </c>
      <c r="AG75" s="74"/>
      <c r="AH75" s="47">
        <f t="shared" si="2"/>
        <v>-290</v>
      </c>
      <c r="AI75" s="48">
        <f t="shared" si="3"/>
        <v>-475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75">
        <v>0</v>
      </c>
      <c r="F76" s="75"/>
      <c r="G76" s="75"/>
      <c r="H76" s="75">
        <v>0</v>
      </c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>
        <v>0</v>
      </c>
      <c r="F77" s="45"/>
      <c r="G77" s="45"/>
      <c r="H77" s="45">
        <v>0</v>
      </c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45">
        <v>5</v>
      </c>
      <c r="C78" s="45">
        <v>5</v>
      </c>
      <c r="D78" s="45">
        <v>5</v>
      </c>
      <c r="E78" s="45">
        <v>5</v>
      </c>
      <c r="F78" s="45">
        <v>5</v>
      </c>
      <c r="G78" s="45">
        <v>5</v>
      </c>
      <c r="H78" s="45">
        <v>5</v>
      </c>
      <c r="I78" s="76">
        <v>5</v>
      </c>
      <c r="J78" s="76">
        <v>5</v>
      </c>
      <c r="K78" s="76">
        <v>0</v>
      </c>
      <c r="L78" s="76">
        <v>0</v>
      </c>
      <c r="M78" s="76">
        <v>0</v>
      </c>
      <c r="N78" s="76">
        <v>0</v>
      </c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9"/>
        <v>5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76">
        <v>0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>
        <v>5</v>
      </c>
      <c r="AF79" s="76">
        <v>5</v>
      </c>
      <c r="AG79" s="74"/>
      <c r="AH79" s="47">
        <f t="shared" si="9"/>
        <v>5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1">SUMIF(B73:B83,"&gt;0")</f>
        <v>14.2</v>
      </c>
      <c r="C84" s="60">
        <f t="shared" si="11"/>
        <v>9</v>
      </c>
      <c r="D84" s="60">
        <f t="shared" si="11"/>
        <v>6.2</v>
      </c>
      <c r="E84" s="60">
        <f t="shared" si="11"/>
        <v>8.4</v>
      </c>
      <c r="F84" s="60">
        <f t="shared" si="11"/>
        <v>7.4</v>
      </c>
      <c r="G84" s="60">
        <f t="shared" si="11"/>
        <v>6.2</v>
      </c>
      <c r="H84" s="60">
        <f t="shared" si="11"/>
        <v>6.2</v>
      </c>
      <c r="I84" s="60">
        <f t="shared" si="11"/>
        <v>7</v>
      </c>
      <c r="J84" s="60">
        <f t="shared" si="11"/>
        <v>7</v>
      </c>
      <c r="K84" s="60">
        <f t="shared" si="11"/>
        <v>1.2</v>
      </c>
      <c r="L84" s="60">
        <f t="shared" si="11"/>
        <v>3.8</v>
      </c>
      <c r="M84" s="60">
        <f t="shared" si="11"/>
        <v>10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32</v>
      </c>
      <c r="AA84" s="60">
        <f t="shared" si="11"/>
        <v>43</v>
      </c>
      <c r="AB84" s="60">
        <f>SUMIF(AB73:AB83,"&gt;0")</f>
        <v>44.8</v>
      </c>
      <c r="AC84" s="60">
        <f t="shared" si="11"/>
        <v>45</v>
      </c>
      <c r="AD84" s="60">
        <f t="shared" si="11"/>
        <v>3</v>
      </c>
      <c r="AE84" s="60">
        <f t="shared" si="11"/>
        <v>12</v>
      </c>
      <c r="AF84" s="60">
        <f t="shared" si="11"/>
        <v>10</v>
      </c>
      <c r="AG84" s="87">
        <f>SUM(AG73:AG83)</f>
        <v>0</v>
      </c>
      <c r="AH84" s="47">
        <f t="shared" si="9"/>
        <v>45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2048.44</v>
      </c>
      <c r="C89" s="94">
        <f t="shared" si="12"/>
        <v>2043.2400000000002</v>
      </c>
      <c r="D89" s="94">
        <f t="shared" si="12"/>
        <v>2040.4400000000003</v>
      </c>
      <c r="E89" s="94">
        <f t="shared" si="12"/>
        <v>2041.9400000000003</v>
      </c>
      <c r="F89" s="94">
        <f t="shared" si="12"/>
        <v>2040.9400000000003</v>
      </c>
      <c r="G89" s="94">
        <f t="shared" si="12"/>
        <v>2045.7400000000002</v>
      </c>
      <c r="H89" s="94">
        <f t="shared" si="12"/>
        <v>2065.84</v>
      </c>
      <c r="I89" s="94">
        <f t="shared" si="12"/>
        <v>2066.6400000000003</v>
      </c>
      <c r="J89" s="94">
        <f t="shared" si="12"/>
        <v>2080.84</v>
      </c>
      <c r="K89" s="94">
        <f t="shared" si="12"/>
        <v>2078.7399999999998</v>
      </c>
      <c r="L89" s="94">
        <f t="shared" si="12"/>
        <v>2101.6400000000003</v>
      </c>
      <c r="M89" s="94">
        <f t="shared" si="12"/>
        <v>2118.64</v>
      </c>
      <c r="N89" s="94">
        <f t="shared" si="12"/>
        <v>2142.64</v>
      </c>
      <c r="O89" s="94">
        <f t="shared" si="12"/>
        <v>2143.6400000000003</v>
      </c>
      <c r="P89" s="94">
        <f t="shared" si="12"/>
        <v>2153.54</v>
      </c>
      <c r="Q89" s="94">
        <f t="shared" si="12"/>
        <v>2153.64</v>
      </c>
      <c r="R89" s="94">
        <f t="shared" si="12"/>
        <v>2137.64</v>
      </c>
      <c r="S89" s="94">
        <f t="shared" si="12"/>
        <v>2134.04</v>
      </c>
      <c r="T89" s="94">
        <f t="shared" si="12"/>
        <v>2130.7400000000002</v>
      </c>
      <c r="U89" s="94">
        <f t="shared" si="12"/>
        <v>2125.04</v>
      </c>
      <c r="V89" s="94">
        <f t="shared" si="12"/>
        <v>2081.54</v>
      </c>
      <c r="W89" s="94">
        <f t="shared" si="12"/>
        <v>2091.1400000000003</v>
      </c>
      <c r="X89" s="94">
        <f t="shared" si="12"/>
        <v>2112.6400000000003</v>
      </c>
      <c r="Y89" s="94">
        <f t="shared" si="12"/>
        <v>2144.34</v>
      </c>
      <c r="Z89" s="94">
        <f t="shared" si="12"/>
        <v>2239.94</v>
      </c>
      <c r="AA89" s="94">
        <f t="shared" si="12"/>
        <v>2236.84</v>
      </c>
      <c r="AB89" s="94">
        <f>AB50+AB54+AB72+AB68+AB84+AB88</f>
        <v>2238.6400000000003</v>
      </c>
      <c r="AC89" s="94">
        <f t="shared" si="12"/>
        <v>2238.84</v>
      </c>
      <c r="AD89" s="94">
        <f t="shared" si="12"/>
        <v>2196.84</v>
      </c>
      <c r="AE89" s="94">
        <f t="shared" si="12"/>
        <v>2173.2399999999998</v>
      </c>
      <c r="AF89" s="94">
        <f t="shared" si="12"/>
        <v>2080.7399999999998</v>
      </c>
      <c r="AG89" s="61">
        <f t="shared" si="12"/>
        <v>2111.5500000000002</v>
      </c>
      <c r="AH89" s="47">
        <f t="shared" si="9"/>
        <v>2239.94</v>
      </c>
      <c r="AI89" s="48">
        <f t="shared" si="10"/>
        <v>2040.4400000000003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 t="shared" ref="B91:AF91" si="13">B89+B90</f>
        <v>2048.44</v>
      </c>
      <c r="C91" s="94">
        <f t="shared" si="13"/>
        <v>2043.2400000000002</v>
      </c>
      <c r="D91" s="94">
        <f t="shared" si="13"/>
        <v>2040.4400000000003</v>
      </c>
      <c r="E91" s="94">
        <f t="shared" si="13"/>
        <v>2041.9400000000003</v>
      </c>
      <c r="F91" s="94">
        <f t="shared" si="13"/>
        <v>2040.9400000000003</v>
      </c>
      <c r="G91" s="94">
        <f t="shared" si="13"/>
        <v>2045.7400000000002</v>
      </c>
      <c r="H91" s="94">
        <f t="shared" si="13"/>
        <v>2065.84</v>
      </c>
      <c r="I91" s="94">
        <f t="shared" si="13"/>
        <v>2066.6400000000003</v>
      </c>
      <c r="J91" s="94">
        <f t="shared" si="13"/>
        <v>2080.84</v>
      </c>
      <c r="K91" s="94">
        <f t="shared" si="13"/>
        <v>2078.7399999999998</v>
      </c>
      <c r="L91" s="94">
        <f t="shared" si="13"/>
        <v>2101.6400000000003</v>
      </c>
      <c r="M91" s="94">
        <f t="shared" si="13"/>
        <v>2118.64</v>
      </c>
      <c r="N91" s="94">
        <f t="shared" si="13"/>
        <v>2142.64</v>
      </c>
      <c r="O91" s="94">
        <f t="shared" si="13"/>
        <v>2143.6400000000003</v>
      </c>
      <c r="P91" s="94">
        <f t="shared" si="13"/>
        <v>2153.54</v>
      </c>
      <c r="Q91" s="94">
        <f t="shared" si="13"/>
        <v>2153.64</v>
      </c>
      <c r="R91" s="94">
        <f t="shared" si="13"/>
        <v>2137.64</v>
      </c>
      <c r="S91" s="94">
        <f t="shared" si="13"/>
        <v>2134.04</v>
      </c>
      <c r="T91" s="94">
        <f t="shared" si="13"/>
        <v>2130.7400000000002</v>
      </c>
      <c r="U91" s="94">
        <f t="shared" si="13"/>
        <v>2125.04</v>
      </c>
      <c r="V91" s="94">
        <f t="shared" si="13"/>
        <v>2081.54</v>
      </c>
      <c r="W91" s="94">
        <f t="shared" si="13"/>
        <v>2091.1400000000003</v>
      </c>
      <c r="X91" s="94">
        <f t="shared" si="13"/>
        <v>2112.6400000000003</v>
      </c>
      <c r="Y91" s="94">
        <f t="shared" si="13"/>
        <v>2144.34</v>
      </c>
      <c r="Z91" s="94">
        <f t="shared" si="13"/>
        <v>2239.94</v>
      </c>
      <c r="AA91" s="94">
        <f t="shared" si="13"/>
        <v>2236.84</v>
      </c>
      <c r="AB91" s="94">
        <f>AB89+AB90</f>
        <v>2238.6400000000003</v>
      </c>
      <c r="AC91" s="94">
        <f t="shared" si="13"/>
        <v>2238.84</v>
      </c>
      <c r="AD91" s="94">
        <f t="shared" si="13"/>
        <v>2196.84</v>
      </c>
      <c r="AE91" s="94">
        <f t="shared" si="13"/>
        <v>2173.2399999999998</v>
      </c>
      <c r="AF91" s="94">
        <f t="shared" si="13"/>
        <v>2080.7399999999998</v>
      </c>
      <c r="AG91" s="87">
        <f>AG88+AG84+AG72+AG68+AG50+AG90</f>
        <v>1573.45</v>
      </c>
      <c r="AH91" s="47">
        <f t="shared" si="9"/>
        <v>2239.94</v>
      </c>
      <c r="AI91" s="48">
        <f t="shared" si="10"/>
        <v>2040.4400000000003</v>
      </c>
    </row>
    <row r="92" spans="1:40" ht="15.75" thickBot="1" x14ac:dyDescent="0.3">
      <c r="A92" s="73" t="s">
        <v>103</v>
      </c>
      <c r="B92" s="94">
        <f>B91-(-B99)</f>
        <v>1720.44</v>
      </c>
      <c r="C92" s="94">
        <f t="shared" ref="C92:AF92" si="14">C91-(-C99)</f>
        <v>1710.2400000000002</v>
      </c>
      <c r="D92" s="94">
        <f t="shared" si="14"/>
        <v>1693.4400000000003</v>
      </c>
      <c r="E92" s="94">
        <f t="shared" si="14"/>
        <v>1681.9400000000003</v>
      </c>
      <c r="F92" s="94">
        <f t="shared" si="14"/>
        <v>1649.9400000000003</v>
      </c>
      <c r="G92" s="94">
        <f t="shared" si="14"/>
        <v>1637.9400000000003</v>
      </c>
      <c r="H92" s="94">
        <f t="shared" si="14"/>
        <v>1622.8400000000001</v>
      </c>
      <c r="I92" s="94">
        <f t="shared" si="14"/>
        <v>1596.6400000000003</v>
      </c>
      <c r="J92" s="94">
        <f t="shared" si="14"/>
        <v>1621.8400000000001</v>
      </c>
      <c r="K92" s="94">
        <f t="shared" si="14"/>
        <v>1609.7399999999998</v>
      </c>
      <c r="L92" s="94">
        <f t="shared" si="14"/>
        <v>1626.6400000000003</v>
      </c>
      <c r="M92" s="94">
        <f t="shared" si="14"/>
        <v>1673.2399999999998</v>
      </c>
      <c r="N92" s="94">
        <f t="shared" si="14"/>
        <v>1721.1399999999999</v>
      </c>
      <c r="O92" s="94">
        <f t="shared" si="14"/>
        <v>1766.6400000000003</v>
      </c>
      <c r="P92" s="94">
        <f t="shared" si="14"/>
        <v>1739.54</v>
      </c>
      <c r="Q92" s="94">
        <f t="shared" si="14"/>
        <v>1772.4399999999998</v>
      </c>
      <c r="R92" s="94">
        <f t="shared" si="14"/>
        <v>2137.64</v>
      </c>
      <c r="S92" s="94">
        <f t="shared" si="14"/>
        <v>1758.04</v>
      </c>
      <c r="T92" s="94">
        <f t="shared" si="14"/>
        <v>1733.7400000000002</v>
      </c>
      <c r="U92" s="94">
        <f t="shared" si="14"/>
        <v>1725.04</v>
      </c>
      <c r="V92" s="94">
        <f t="shared" si="14"/>
        <v>1624.54</v>
      </c>
      <c r="W92" s="94">
        <f t="shared" si="14"/>
        <v>1619.1400000000003</v>
      </c>
      <c r="X92" s="94">
        <f t="shared" si="14"/>
        <v>1663.6400000000003</v>
      </c>
      <c r="Y92" s="94">
        <f t="shared" si="14"/>
        <v>1741.3400000000001</v>
      </c>
      <c r="Z92" s="94">
        <f t="shared" si="14"/>
        <v>1865.94</v>
      </c>
      <c r="AA92" s="94">
        <f t="shared" si="14"/>
        <v>1893.8400000000001</v>
      </c>
      <c r="AB92" s="94">
        <f>AB91-(-AB99)</f>
        <v>1900.8400000000004</v>
      </c>
      <c r="AC92" s="94">
        <f t="shared" si="14"/>
        <v>1923.8400000000001</v>
      </c>
      <c r="AD92" s="94">
        <f t="shared" si="14"/>
        <v>1906.8400000000001</v>
      </c>
      <c r="AE92" s="94">
        <f t="shared" si="14"/>
        <v>1873.2399999999998</v>
      </c>
      <c r="AF92" s="94">
        <f t="shared" si="14"/>
        <v>1790.7399999999998</v>
      </c>
      <c r="AG92" s="87"/>
      <c r="AH92" s="47">
        <f t="shared" si="9"/>
        <v>2137.64</v>
      </c>
      <c r="AI92" s="48">
        <f t="shared" si="10"/>
        <v>1596.6400000000003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-328</v>
      </c>
      <c r="C99" s="60">
        <f t="shared" ref="C99:AF99" si="15">C75</f>
        <v>-333</v>
      </c>
      <c r="D99" s="60">
        <f t="shared" si="15"/>
        <v>-347</v>
      </c>
      <c r="E99" s="60">
        <f t="shared" si="15"/>
        <v>-360</v>
      </c>
      <c r="F99" s="60">
        <f t="shared" si="15"/>
        <v>-391</v>
      </c>
      <c r="G99" s="60">
        <f t="shared" si="15"/>
        <v>-407.8</v>
      </c>
      <c r="H99" s="60">
        <f t="shared" si="15"/>
        <v>-443</v>
      </c>
      <c r="I99" s="60">
        <f t="shared" si="15"/>
        <v>-470</v>
      </c>
      <c r="J99" s="60">
        <f t="shared" si="15"/>
        <v>-459</v>
      </c>
      <c r="K99" s="60">
        <f t="shared" si="15"/>
        <v>-469</v>
      </c>
      <c r="L99" s="60">
        <f t="shared" si="15"/>
        <v>-475</v>
      </c>
      <c r="M99" s="60">
        <f t="shared" si="15"/>
        <v>-445.4</v>
      </c>
      <c r="N99" s="60">
        <f t="shared" si="15"/>
        <v>-421.5</v>
      </c>
      <c r="O99" s="60">
        <f t="shared" si="15"/>
        <v>-377</v>
      </c>
      <c r="P99" s="60">
        <f t="shared" si="15"/>
        <v>-414</v>
      </c>
      <c r="Q99" s="60">
        <f t="shared" si="15"/>
        <v>-381.2</v>
      </c>
      <c r="R99" s="60">
        <f t="shared" si="15"/>
        <v>0</v>
      </c>
      <c r="S99" s="60">
        <f t="shared" si="15"/>
        <v>-376</v>
      </c>
      <c r="T99" s="60">
        <f t="shared" si="15"/>
        <v>-397</v>
      </c>
      <c r="U99" s="60">
        <f t="shared" si="15"/>
        <v>-400</v>
      </c>
      <c r="V99" s="60">
        <f t="shared" si="15"/>
        <v>-457</v>
      </c>
      <c r="W99" s="60">
        <f t="shared" si="15"/>
        <v>-472</v>
      </c>
      <c r="X99" s="60">
        <f t="shared" si="15"/>
        <v>-449</v>
      </c>
      <c r="Y99" s="60">
        <f t="shared" si="15"/>
        <v>-403</v>
      </c>
      <c r="Z99" s="60">
        <f t="shared" si="15"/>
        <v>-374</v>
      </c>
      <c r="AA99" s="60">
        <f t="shared" si="15"/>
        <v>-343</v>
      </c>
      <c r="AB99" s="60">
        <f>AB75</f>
        <v>-337.8</v>
      </c>
      <c r="AC99" s="60">
        <f t="shared" si="15"/>
        <v>-315</v>
      </c>
      <c r="AD99" s="60">
        <f t="shared" si="15"/>
        <v>-290</v>
      </c>
      <c r="AE99" s="60">
        <f t="shared" si="15"/>
        <v>-300</v>
      </c>
      <c r="AF99" s="60">
        <f t="shared" si="15"/>
        <v>-290</v>
      </c>
      <c r="AG99" s="87"/>
      <c r="AH99" s="47">
        <f t="shared" si="9"/>
        <v>0</v>
      </c>
      <c r="AI99" s="48">
        <f t="shared" si="10"/>
        <v>-475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342.2</v>
      </c>
      <c r="C100" s="60">
        <f t="shared" si="16"/>
        <v>342</v>
      </c>
      <c r="D100" s="60">
        <f t="shared" si="16"/>
        <v>353.2</v>
      </c>
      <c r="E100" s="60">
        <f t="shared" si="16"/>
        <v>368.4</v>
      </c>
      <c r="F100" s="60">
        <f t="shared" si="16"/>
        <v>398.4</v>
      </c>
      <c r="G100" s="60">
        <f t="shared" si="16"/>
        <v>414</v>
      </c>
      <c r="H100" s="60">
        <f t="shared" si="16"/>
        <v>449.2</v>
      </c>
      <c r="I100" s="60">
        <f t="shared" si="16"/>
        <v>477</v>
      </c>
      <c r="J100" s="60">
        <f t="shared" si="16"/>
        <v>466</v>
      </c>
      <c r="K100" s="60">
        <f t="shared" si="16"/>
        <v>470.2</v>
      </c>
      <c r="L100" s="60">
        <f t="shared" si="16"/>
        <v>478.8</v>
      </c>
      <c r="M100" s="60">
        <f t="shared" si="16"/>
        <v>455.4</v>
      </c>
      <c r="N100" s="60">
        <f t="shared" si="16"/>
        <v>421.5</v>
      </c>
      <c r="O100" s="60">
        <f t="shared" si="16"/>
        <v>377</v>
      </c>
      <c r="P100" s="60">
        <f t="shared" si="16"/>
        <v>414</v>
      </c>
      <c r="Q100" s="60">
        <f t="shared" si="16"/>
        <v>381.2</v>
      </c>
      <c r="R100" s="60">
        <f t="shared" si="16"/>
        <v>0</v>
      </c>
      <c r="S100" s="60">
        <f t="shared" si="16"/>
        <v>376</v>
      </c>
      <c r="T100" s="60">
        <f t="shared" si="16"/>
        <v>397</v>
      </c>
      <c r="U100" s="60">
        <f t="shared" si="16"/>
        <v>400</v>
      </c>
      <c r="V100" s="60">
        <f t="shared" si="16"/>
        <v>457</v>
      </c>
      <c r="W100" s="60">
        <f t="shared" si="16"/>
        <v>472</v>
      </c>
      <c r="X100" s="60">
        <f t="shared" si="16"/>
        <v>449</v>
      </c>
      <c r="Y100" s="60">
        <f t="shared" si="16"/>
        <v>403</v>
      </c>
      <c r="Z100" s="60">
        <f t="shared" si="16"/>
        <v>406</v>
      </c>
      <c r="AA100" s="60">
        <f t="shared" si="16"/>
        <v>386</v>
      </c>
      <c r="AB100" s="60">
        <f>AB84-AB99</f>
        <v>382.6</v>
      </c>
      <c r="AC100" s="60">
        <f t="shared" si="16"/>
        <v>360</v>
      </c>
      <c r="AD100" s="60">
        <f t="shared" si="16"/>
        <v>293</v>
      </c>
      <c r="AE100" s="60">
        <f t="shared" si="16"/>
        <v>312</v>
      </c>
      <c r="AF100" s="60">
        <f t="shared" si="16"/>
        <v>300</v>
      </c>
      <c r="AG100" s="87"/>
      <c r="AH100" s="47">
        <f t="shared" si="9"/>
        <v>478.8</v>
      </c>
      <c r="AI100" s="48">
        <f t="shared" si="10"/>
        <v>0</v>
      </c>
    </row>
    <row r="101" spans="1:37" x14ac:dyDescent="0.25">
      <c r="A101" s="99" t="s">
        <v>109</v>
      </c>
      <c r="B101" s="100">
        <v>50.026000000000003</v>
      </c>
      <c r="C101" s="100">
        <v>50.042000000000002</v>
      </c>
      <c r="D101" s="100">
        <v>50.018999999999998</v>
      </c>
      <c r="E101" s="100">
        <v>49.930999999999997</v>
      </c>
      <c r="F101" s="100">
        <v>50.003</v>
      </c>
      <c r="G101" s="100">
        <v>50.002000000000002</v>
      </c>
      <c r="H101" s="100">
        <v>50.002000000000002</v>
      </c>
      <c r="I101" s="100">
        <v>49.95</v>
      </c>
      <c r="J101" s="100">
        <v>49.884</v>
      </c>
      <c r="K101" s="100">
        <v>49.942999999999998</v>
      </c>
      <c r="L101" s="100">
        <v>50.052999999999997</v>
      </c>
      <c r="M101" s="100">
        <v>50.042999999999999</v>
      </c>
      <c r="N101" s="100">
        <v>50.008000000000003</v>
      </c>
      <c r="O101" s="100">
        <v>50.052999999999997</v>
      </c>
      <c r="P101" s="100">
        <v>50.043999999999997</v>
      </c>
      <c r="Q101" s="100">
        <v>49.978999999999999</v>
      </c>
      <c r="R101" s="100"/>
      <c r="S101" s="100">
        <v>49.942999999999998</v>
      </c>
      <c r="T101" s="100">
        <v>50.018999999999998</v>
      </c>
      <c r="U101" s="100">
        <v>49.988</v>
      </c>
      <c r="V101" s="100">
        <v>49.942</v>
      </c>
      <c r="W101" s="100">
        <v>49.83</v>
      </c>
      <c r="X101" s="100">
        <v>49.953000000000003</v>
      </c>
      <c r="Y101" s="100">
        <v>50.033999999999999</v>
      </c>
      <c r="Z101" s="100">
        <v>50.045999999999999</v>
      </c>
      <c r="AA101" s="100">
        <v>49.972999999999999</v>
      </c>
      <c r="AB101" s="100">
        <v>50.048000000000002</v>
      </c>
      <c r="AC101" s="100">
        <v>50.03</v>
      </c>
      <c r="AD101" s="100">
        <v>49.99</v>
      </c>
      <c r="AE101" s="100">
        <v>50.1</v>
      </c>
      <c r="AF101" s="100">
        <v>50</v>
      </c>
      <c r="AG101" s="101"/>
      <c r="AH101" s="47">
        <f t="shared" si="9"/>
        <v>50.1</v>
      </c>
      <c r="AI101" s="48">
        <f t="shared" si="10"/>
        <v>49.83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129</v>
      </c>
      <c r="C103" s="64">
        <v>129.19999999999999</v>
      </c>
      <c r="D103" s="64">
        <v>129.69999999999999</v>
      </c>
      <c r="E103" s="64">
        <v>129.5</v>
      </c>
      <c r="F103" s="64">
        <v>129.5</v>
      </c>
      <c r="G103" s="64">
        <v>129.19999999999999</v>
      </c>
      <c r="H103" s="64">
        <v>129.19999999999999</v>
      </c>
      <c r="I103" s="64">
        <v>128.80000000000001</v>
      </c>
      <c r="J103" s="64">
        <v>127.1</v>
      </c>
      <c r="K103" s="64">
        <v>126.1</v>
      </c>
      <c r="L103" s="64">
        <v>126.4</v>
      </c>
      <c r="M103" s="64">
        <v>125</v>
      </c>
      <c r="N103" s="64">
        <v>125</v>
      </c>
      <c r="O103" s="64">
        <v>124.6</v>
      </c>
      <c r="P103" s="64">
        <v>124.7</v>
      </c>
      <c r="Q103" s="64">
        <v>125.4</v>
      </c>
      <c r="R103" s="64"/>
      <c r="S103" s="64">
        <v>124.6</v>
      </c>
      <c r="T103" s="64">
        <v>124.6</v>
      </c>
      <c r="U103" s="64">
        <v>126.3</v>
      </c>
      <c r="V103" s="64">
        <v>127.2</v>
      </c>
      <c r="W103" s="64">
        <v>128.19999999999999</v>
      </c>
      <c r="X103" s="64">
        <v>129</v>
      </c>
      <c r="Y103" s="64">
        <v>127.3</v>
      </c>
      <c r="Z103" s="64">
        <v>125.6</v>
      </c>
      <c r="AA103" s="64">
        <v>126.2</v>
      </c>
      <c r="AB103" s="64">
        <v>127.4</v>
      </c>
      <c r="AC103" s="64">
        <v>128</v>
      </c>
      <c r="AD103" s="64">
        <v>127.4</v>
      </c>
      <c r="AE103" s="64">
        <v>126</v>
      </c>
      <c r="AF103" s="64">
        <v>127.7</v>
      </c>
      <c r="AG103" s="103"/>
      <c r="AH103" s="47">
        <f t="shared" si="9"/>
        <v>129.69999999999999</v>
      </c>
      <c r="AI103" s="48">
        <f t="shared" si="10"/>
        <v>124.6</v>
      </c>
    </row>
    <row r="104" spans="1:37" x14ac:dyDescent="0.25">
      <c r="A104" s="102" t="s">
        <v>112</v>
      </c>
      <c r="B104" s="64">
        <v>125.5</v>
      </c>
      <c r="C104" s="64">
        <v>125.2</v>
      </c>
      <c r="D104" s="64">
        <v>127.7</v>
      </c>
      <c r="E104" s="64">
        <v>127.9</v>
      </c>
      <c r="F104" s="64">
        <v>125.7</v>
      </c>
      <c r="G104" s="64">
        <v>130.30000000000001</v>
      </c>
      <c r="H104" s="64">
        <v>130.30000000000001</v>
      </c>
      <c r="I104" s="64">
        <v>128.19999999999999</v>
      </c>
      <c r="J104" s="64">
        <v>124.9</v>
      </c>
      <c r="K104" s="64">
        <v>127.2</v>
      </c>
      <c r="L104" s="64">
        <v>128.5</v>
      </c>
      <c r="M104" s="64">
        <v>122.9</v>
      </c>
      <c r="N104" s="64">
        <v>123.6</v>
      </c>
      <c r="O104" s="64">
        <v>126.2</v>
      </c>
      <c r="P104" s="64">
        <v>127.9</v>
      </c>
      <c r="Q104" s="64">
        <v>127.4</v>
      </c>
      <c r="R104" s="64"/>
      <c r="S104" s="64">
        <v>126.1</v>
      </c>
      <c r="T104" s="64">
        <v>126.1</v>
      </c>
      <c r="U104" s="64">
        <v>126.8</v>
      </c>
      <c r="V104" s="64">
        <v>129.69999999999999</v>
      </c>
      <c r="W104" s="64">
        <v>127.3</v>
      </c>
      <c r="X104" s="64">
        <v>128.30000000000001</v>
      </c>
      <c r="Y104" s="64">
        <v>127.7</v>
      </c>
      <c r="Z104" s="64">
        <v>126.6</v>
      </c>
      <c r="AA104" s="64">
        <v>128.30000000000001</v>
      </c>
      <c r="AB104" s="64">
        <v>124.1</v>
      </c>
      <c r="AC104" s="64">
        <v>123</v>
      </c>
      <c r="AD104" s="64">
        <v>128</v>
      </c>
      <c r="AE104" s="64">
        <v>126</v>
      </c>
      <c r="AF104" s="64">
        <v>128</v>
      </c>
      <c r="AG104" s="103"/>
      <c r="AH104" s="47">
        <f t="shared" si="9"/>
        <v>130.30000000000001</v>
      </c>
      <c r="AI104" s="48">
        <f t="shared" si="10"/>
        <v>122.9</v>
      </c>
    </row>
    <row r="105" spans="1:37" x14ac:dyDescent="0.25">
      <c r="A105" s="104" t="s">
        <v>113</v>
      </c>
      <c r="B105" s="64">
        <v>130.5</v>
      </c>
      <c r="C105" s="64">
        <v>130.4</v>
      </c>
      <c r="D105" s="64">
        <v>132.6</v>
      </c>
      <c r="E105" s="64">
        <v>131.1</v>
      </c>
      <c r="F105" s="64">
        <v>130.69999999999999</v>
      </c>
      <c r="G105" s="64">
        <v>133.9</v>
      </c>
      <c r="H105" s="64">
        <v>133.9</v>
      </c>
      <c r="I105" s="64">
        <v>131.6</v>
      </c>
      <c r="J105" s="64">
        <v>128.80000000000001</v>
      </c>
      <c r="K105" s="64">
        <v>131</v>
      </c>
      <c r="L105" s="64">
        <v>128.1</v>
      </c>
      <c r="M105" s="64">
        <v>125.1</v>
      </c>
      <c r="N105" s="64">
        <v>125.3</v>
      </c>
      <c r="O105" s="64">
        <v>127.9</v>
      </c>
      <c r="P105" s="64">
        <v>129.6</v>
      </c>
      <c r="Q105" s="64">
        <v>129.4</v>
      </c>
      <c r="R105" s="64"/>
      <c r="S105" s="64">
        <v>128.5</v>
      </c>
      <c r="T105" s="64">
        <v>127.6</v>
      </c>
      <c r="U105" s="64">
        <v>127.4</v>
      </c>
      <c r="V105" s="64">
        <v>130.9</v>
      </c>
      <c r="W105" s="64">
        <v>128.6</v>
      </c>
      <c r="X105" s="64">
        <v>131.1</v>
      </c>
      <c r="Y105" s="64">
        <v>128.69999999999999</v>
      </c>
      <c r="Z105" s="64">
        <v>129.19999999999999</v>
      </c>
      <c r="AA105" s="64">
        <v>130.5</v>
      </c>
      <c r="AB105" s="64">
        <v>126.9</v>
      </c>
      <c r="AC105" s="64">
        <v>123</v>
      </c>
      <c r="AD105" s="64">
        <v>130</v>
      </c>
      <c r="AE105" s="64">
        <v>129.4</v>
      </c>
      <c r="AF105" s="64">
        <v>131</v>
      </c>
      <c r="AG105" s="103"/>
      <c r="AH105" s="47">
        <f t="shared" si="9"/>
        <v>133.9</v>
      </c>
      <c r="AI105" s="48">
        <f t="shared" si="10"/>
        <v>123</v>
      </c>
    </row>
    <row r="106" spans="1:37" x14ac:dyDescent="0.25">
      <c r="A106" s="104" t="s">
        <v>114</v>
      </c>
      <c r="B106" s="105">
        <v>130.9</v>
      </c>
      <c r="C106" s="105">
        <v>132.30000000000001</v>
      </c>
      <c r="D106" s="105">
        <v>133.1</v>
      </c>
      <c r="E106" s="105">
        <v>130</v>
      </c>
      <c r="F106" s="105">
        <v>131.5</v>
      </c>
      <c r="G106" s="105">
        <v>132.1</v>
      </c>
      <c r="H106" s="105">
        <v>132.1</v>
      </c>
      <c r="I106" s="105">
        <v>132.80000000000001</v>
      </c>
      <c r="J106" s="105">
        <v>132.19999999999999</v>
      </c>
      <c r="K106" s="105">
        <v>131.1</v>
      </c>
      <c r="L106" s="105">
        <v>132</v>
      </c>
      <c r="M106" s="105">
        <v>130.19999999999999</v>
      </c>
      <c r="N106" s="105">
        <v>131</v>
      </c>
      <c r="O106" s="105">
        <v>131.80000000000001</v>
      </c>
      <c r="P106" s="105">
        <v>131.5</v>
      </c>
      <c r="Q106" s="105">
        <v>133.69999999999999</v>
      </c>
      <c r="R106" s="105"/>
      <c r="S106" s="105">
        <v>132.5</v>
      </c>
      <c r="T106" s="105">
        <v>129.4</v>
      </c>
      <c r="U106" s="105">
        <v>130.9</v>
      </c>
      <c r="V106" s="105">
        <v>132.30000000000001</v>
      </c>
      <c r="W106" s="105">
        <v>134.30000000000001</v>
      </c>
      <c r="X106" s="105">
        <v>136</v>
      </c>
      <c r="Y106" s="105">
        <v>133.6</v>
      </c>
      <c r="Z106" s="105">
        <v>129</v>
      </c>
      <c r="AA106" s="105">
        <v>130.30000000000001</v>
      </c>
      <c r="AB106" s="105">
        <v>131.4</v>
      </c>
      <c r="AC106" s="105">
        <v>132</v>
      </c>
      <c r="AD106" s="105">
        <v>132</v>
      </c>
      <c r="AE106" s="105">
        <v>128.80000000000001</v>
      </c>
      <c r="AF106" s="105">
        <v>132.6</v>
      </c>
      <c r="AG106" s="106"/>
      <c r="AH106" s="47">
        <f t="shared" si="9"/>
        <v>136</v>
      </c>
      <c r="AI106" s="48">
        <f t="shared" si="10"/>
        <v>128.80000000000001</v>
      </c>
    </row>
    <row r="107" spans="1:37" x14ac:dyDescent="0.25">
      <c r="A107" s="102" t="s">
        <v>115</v>
      </c>
      <c r="B107" s="64">
        <v>129.4</v>
      </c>
      <c r="C107" s="64">
        <v>130.1</v>
      </c>
      <c r="D107" s="64">
        <v>136.5</v>
      </c>
      <c r="E107" s="64">
        <v>137.6</v>
      </c>
      <c r="F107" s="64">
        <v>129.6</v>
      </c>
      <c r="G107" s="64">
        <v>132.19999999999999</v>
      </c>
      <c r="H107" s="64">
        <v>132.19999999999999</v>
      </c>
      <c r="I107" s="64">
        <v>130.80000000000001</v>
      </c>
      <c r="J107" s="64">
        <v>128.6</v>
      </c>
      <c r="K107" s="64">
        <v>133.1</v>
      </c>
      <c r="L107" s="64">
        <v>125</v>
      </c>
      <c r="M107" s="64"/>
      <c r="N107" s="64">
        <v>125.9</v>
      </c>
      <c r="O107" s="64">
        <v>126.7</v>
      </c>
      <c r="P107" s="64">
        <v>126.4</v>
      </c>
      <c r="Q107" s="64">
        <v>128.30000000000001</v>
      </c>
      <c r="R107" s="64"/>
      <c r="S107" s="64">
        <v>135.4</v>
      </c>
      <c r="T107" s="64">
        <v>131.69999999999999</v>
      </c>
      <c r="U107" s="64">
        <v>134.69999999999999</v>
      </c>
      <c r="V107" s="64">
        <v>131.6</v>
      </c>
      <c r="W107" s="64">
        <v>134.1</v>
      </c>
      <c r="X107" s="64">
        <v>137</v>
      </c>
      <c r="Y107" s="64">
        <v>135.80000000000001</v>
      </c>
      <c r="Z107" s="64">
        <v>131.69999999999999</v>
      </c>
      <c r="AA107" s="64">
        <v>130.5</v>
      </c>
      <c r="AB107" s="64">
        <v>133</v>
      </c>
      <c r="AC107" s="64">
        <v>132.9</v>
      </c>
      <c r="AD107" s="64">
        <v>132</v>
      </c>
      <c r="AE107" s="64">
        <v>132</v>
      </c>
      <c r="AF107" s="64">
        <v>130</v>
      </c>
      <c r="AG107" s="103"/>
      <c r="AH107" s="47">
        <f t="shared" si="9"/>
        <v>137.6</v>
      </c>
      <c r="AI107" s="48">
        <f t="shared" si="10"/>
        <v>125</v>
      </c>
    </row>
    <row r="108" spans="1:37" ht="15.75" thickBot="1" x14ac:dyDescent="0.3">
      <c r="A108" s="102" t="s">
        <v>116</v>
      </c>
      <c r="B108" s="91">
        <v>64.8</v>
      </c>
      <c r="C108" s="91">
        <v>65.099999999999994</v>
      </c>
      <c r="D108" s="91">
        <v>65.2</v>
      </c>
      <c r="E108" s="91">
        <v>65.2</v>
      </c>
      <c r="F108" s="91">
        <v>65.5</v>
      </c>
      <c r="G108" s="91">
        <v>65.2</v>
      </c>
      <c r="H108" s="91">
        <v>65.2</v>
      </c>
      <c r="I108" s="91">
        <v>135.80000000000001</v>
      </c>
      <c r="J108" s="91">
        <v>63.8</v>
      </c>
      <c r="K108" s="91">
        <v>63.2</v>
      </c>
      <c r="L108" s="91">
        <v>63.5</v>
      </c>
      <c r="M108" s="91">
        <v>62.4</v>
      </c>
      <c r="N108" s="91">
        <v>62.2</v>
      </c>
      <c r="O108" s="91">
        <v>61.9</v>
      </c>
      <c r="P108" s="91">
        <v>62.3</v>
      </c>
      <c r="Q108" s="91">
        <v>62.6</v>
      </c>
      <c r="R108" s="91"/>
      <c r="S108" s="91">
        <v>61.7</v>
      </c>
      <c r="T108" s="91">
        <v>62.2</v>
      </c>
      <c r="U108" s="91">
        <v>63.1</v>
      </c>
      <c r="V108" s="91">
        <v>63.5</v>
      </c>
      <c r="W108" s="91">
        <v>64</v>
      </c>
      <c r="X108" s="91">
        <v>64.599999999999994</v>
      </c>
      <c r="Y108" s="91">
        <v>63.8</v>
      </c>
      <c r="Z108" s="91">
        <v>62.9</v>
      </c>
      <c r="AA108" s="91">
        <v>63.3</v>
      </c>
      <c r="AB108" s="91">
        <v>63.7</v>
      </c>
      <c r="AC108" s="91">
        <v>63.9</v>
      </c>
      <c r="AD108" s="91">
        <v>64</v>
      </c>
      <c r="AE108" s="91">
        <v>64</v>
      </c>
      <c r="AF108" s="91">
        <v>64</v>
      </c>
      <c r="AG108" s="107"/>
      <c r="AH108" s="47">
        <f t="shared" si="9"/>
        <v>135.80000000000001</v>
      </c>
      <c r="AI108" s="48">
        <f t="shared" si="10"/>
        <v>61.7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50.199999999999989</v>
      </c>
      <c r="C110" s="110">
        <f t="shared" si="17"/>
        <v>43.040000000000006</v>
      </c>
      <c r="D110" s="110">
        <f t="shared" si="17"/>
        <v>32.939999999999984</v>
      </c>
      <c r="E110" s="110">
        <f t="shared" si="17"/>
        <v>46.839999999999989</v>
      </c>
      <c r="F110" s="110">
        <f t="shared" si="17"/>
        <v>45.34</v>
      </c>
      <c r="G110" s="110">
        <f t="shared" si="17"/>
        <v>69.939999999999984</v>
      </c>
      <c r="H110" s="110">
        <f t="shared" si="17"/>
        <v>390.54</v>
      </c>
      <c r="I110" s="110">
        <f t="shared" si="17"/>
        <v>113.14000000000001</v>
      </c>
      <c r="J110" s="110">
        <f t="shared" si="17"/>
        <v>127.74000000000004</v>
      </c>
      <c r="K110" s="110">
        <f t="shared" si="17"/>
        <v>155.14000000000001</v>
      </c>
      <c r="L110" s="110">
        <f t="shared" si="17"/>
        <v>188.74</v>
      </c>
      <c r="M110" s="110">
        <f t="shared" si="17"/>
        <v>185.44</v>
      </c>
      <c r="N110" s="110">
        <f t="shared" si="17"/>
        <v>195.93999999999997</v>
      </c>
      <c r="O110" s="110">
        <f t="shared" si="17"/>
        <v>209.64000000000004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195.59999999999997</v>
      </c>
      <c r="R110" s="110">
        <f t="shared" si="18"/>
        <v>188</v>
      </c>
      <c r="S110" s="110">
        <f t="shared" si="18"/>
        <v>182.89999999999998</v>
      </c>
      <c r="T110" s="110">
        <f t="shared" si="18"/>
        <v>180.00000000000003</v>
      </c>
      <c r="U110" s="110">
        <f t="shared" si="18"/>
        <v>174.50000000000003</v>
      </c>
      <c r="V110" s="110">
        <f t="shared" si="18"/>
        <v>172.2</v>
      </c>
      <c r="W110" s="110">
        <f t="shared" si="18"/>
        <v>183.30000000000004</v>
      </c>
      <c r="X110" s="110">
        <f t="shared" si="18"/>
        <v>196.10000000000002</v>
      </c>
      <c r="Y110" s="110">
        <f t="shared" si="18"/>
        <v>237.8</v>
      </c>
      <c r="Z110" s="110">
        <f t="shared" si="18"/>
        <v>270.60000000000002</v>
      </c>
      <c r="AA110" s="110">
        <f t="shared" si="18"/>
        <v>258.10000000000002</v>
      </c>
      <c r="AB110" s="110">
        <f>SUM(AB20,AB26,AB29:AB30,AB58,AB60:AB61,AB63,AB65,AB111:AB115,AB138,AB144,AB150,AB159,AB161,AB173,AB180,AB183:AB184,AB191,AB193,AB195,AB199:AB201,AB203:AB205,AB210,AB216:AB217,AB219:AB221,AB229,AB234)</f>
        <v>234.60000000000002</v>
      </c>
      <c r="AC110" s="110">
        <f t="shared" si="18"/>
        <v>216.3</v>
      </c>
      <c r="AD110" s="110"/>
      <c r="AE110" s="110">
        <f t="shared" si="18"/>
        <v>124.80000000000001</v>
      </c>
      <c r="AF110" s="110">
        <f t="shared" si="18"/>
        <v>66.800000000000011</v>
      </c>
      <c r="AG110" s="111"/>
      <c r="AH110" s="47">
        <f t="shared" si="9"/>
        <v>390.54</v>
      </c>
      <c r="AI110" s="48">
        <f t="shared" si="10"/>
        <v>32.939999999999984</v>
      </c>
    </row>
    <row r="111" spans="1:37" x14ac:dyDescent="0.25">
      <c r="A111" s="99" t="s">
        <v>119</v>
      </c>
      <c r="B111" s="112">
        <v>10.199999999999999</v>
      </c>
      <c r="C111" s="112">
        <v>8.9</v>
      </c>
      <c r="D111" s="112">
        <v>10.199999999999999</v>
      </c>
      <c r="E111" s="112">
        <v>11.1</v>
      </c>
      <c r="F111" s="112">
        <v>15.9</v>
      </c>
      <c r="G111" s="112">
        <v>17.2</v>
      </c>
      <c r="H111" s="112">
        <v>21.1</v>
      </c>
      <c r="I111" s="112">
        <v>25.2</v>
      </c>
      <c r="J111" s="112">
        <v>26.9</v>
      </c>
      <c r="K111" s="112">
        <v>32.1</v>
      </c>
      <c r="L111" s="112">
        <v>39.299999999999997</v>
      </c>
      <c r="M111" s="112">
        <v>43.4</v>
      </c>
      <c r="N111" s="112">
        <v>39.299999999999997</v>
      </c>
      <c r="O111" s="112">
        <v>38.4</v>
      </c>
      <c r="P111" s="112">
        <v>38.700000000000003</v>
      </c>
      <c r="Q111" s="112">
        <v>35.700000000000003</v>
      </c>
      <c r="R111" s="112"/>
      <c r="S111" s="112">
        <v>32.700000000000003</v>
      </c>
      <c r="T111" s="112">
        <v>32.9</v>
      </c>
      <c r="U111" s="112">
        <v>33.9</v>
      </c>
      <c r="V111" s="112">
        <v>33.4</v>
      </c>
      <c r="W111" s="112">
        <v>33.299999999999997</v>
      </c>
      <c r="X111" s="112">
        <v>34.9</v>
      </c>
      <c r="Y111" s="112">
        <v>45.4</v>
      </c>
      <c r="Z111" s="112">
        <v>50.2</v>
      </c>
      <c r="AA111" s="112">
        <v>49</v>
      </c>
      <c r="AB111" s="112">
        <v>40.4</v>
      </c>
      <c r="AC111" s="112">
        <v>41</v>
      </c>
      <c r="AD111" s="112">
        <v>33</v>
      </c>
      <c r="AE111" s="112">
        <v>37</v>
      </c>
      <c r="AF111" s="112">
        <v>30</v>
      </c>
      <c r="AG111" s="113">
        <v>75</v>
      </c>
      <c r="AH111" s="47">
        <f t="shared" si="9"/>
        <v>50.2</v>
      </c>
      <c r="AI111" s="48">
        <f t="shared" si="10"/>
        <v>8.9</v>
      </c>
    </row>
    <row r="112" spans="1:37" x14ac:dyDescent="0.25">
      <c r="A112" s="102" t="s">
        <v>120</v>
      </c>
      <c r="B112" s="114">
        <v>17.399999999999999</v>
      </c>
      <c r="C112" s="114">
        <v>15.8</v>
      </c>
      <c r="D112" s="114">
        <v>17.5</v>
      </c>
      <c r="E112" s="114">
        <v>19</v>
      </c>
      <c r="F112" s="114">
        <v>25.3</v>
      </c>
      <c r="G112" s="114">
        <v>27.3</v>
      </c>
      <c r="H112" s="114">
        <v>33.4</v>
      </c>
      <c r="I112" s="114">
        <v>38.9</v>
      </c>
      <c r="J112" s="114">
        <v>40.4</v>
      </c>
      <c r="K112" s="114">
        <v>44.5</v>
      </c>
      <c r="L112" s="114">
        <v>53.8</v>
      </c>
      <c r="M112" s="114">
        <v>59</v>
      </c>
      <c r="N112" s="114">
        <v>54.9</v>
      </c>
      <c r="O112" s="114">
        <v>54.3</v>
      </c>
      <c r="P112" s="114">
        <v>56.4</v>
      </c>
      <c r="Q112" s="114">
        <v>50</v>
      </c>
      <c r="R112" s="114"/>
      <c r="S112" s="114">
        <v>45.8</v>
      </c>
      <c r="T112" s="114">
        <v>46.7</v>
      </c>
      <c r="U112" s="114">
        <v>48.6</v>
      </c>
      <c r="V112" s="114">
        <v>46.3</v>
      </c>
      <c r="W112" s="114">
        <v>44.5</v>
      </c>
      <c r="X112" s="114">
        <v>48.1</v>
      </c>
      <c r="Y112" s="114">
        <v>64.599999999999994</v>
      </c>
      <c r="Z112" s="114">
        <v>72.599999999999994</v>
      </c>
      <c r="AA112" s="114">
        <v>72</v>
      </c>
      <c r="AB112" s="114">
        <v>59.9</v>
      </c>
      <c r="AC112" s="114">
        <v>59</v>
      </c>
      <c r="AD112" s="114">
        <v>47</v>
      </c>
      <c r="AE112" s="114">
        <v>50</v>
      </c>
      <c r="AF112" s="114">
        <v>44</v>
      </c>
      <c r="AG112" s="113">
        <v>240</v>
      </c>
      <c r="AH112" s="47">
        <f t="shared" si="9"/>
        <v>72.599999999999994</v>
      </c>
      <c r="AI112" s="48">
        <f t="shared" si="10"/>
        <v>15.8</v>
      </c>
    </row>
    <row r="113" spans="1:37" x14ac:dyDescent="0.25">
      <c r="A113" s="102" t="s">
        <v>121</v>
      </c>
      <c r="B113" s="114">
        <v>-145</v>
      </c>
      <c r="C113" s="114">
        <v>-152</v>
      </c>
      <c r="D113" s="114">
        <v>-160</v>
      </c>
      <c r="E113" s="114">
        <v>-149</v>
      </c>
      <c r="F113" s="114">
        <v>-162</v>
      </c>
      <c r="G113" s="114">
        <v>-145.30000000000001</v>
      </c>
      <c r="H113" s="114">
        <v>151.1</v>
      </c>
      <c r="I113" s="114">
        <v>-135.6</v>
      </c>
      <c r="J113" s="114">
        <v>-129.19999999999999</v>
      </c>
      <c r="K113" s="114">
        <v>-113.6</v>
      </c>
      <c r="L113" s="114">
        <v>-113</v>
      </c>
      <c r="M113" s="114">
        <f>-64-68</f>
        <v>-132</v>
      </c>
      <c r="N113" s="114">
        <f>-66-69</f>
        <v>-135</v>
      </c>
      <c r="O113" s="114">
        <f>-58-62</f>
        <v>-120</v>
      </c>
      <c r="P113" s="114">
        <f>-68-71</f>
        <v>-139</v>
      </c>
      <c r="Q113" s="114">
        <f>-60-66</f>
        <v>-126</v>
      </c>
      <c r="R113" s="114"/>
      <c r="S113" s="114">
        <f>-62.6-65.5</f>
        <v>-128.1</v>
      </c>
      <c r="T113" s="114">
        <v>-130</v>
      </c>
      <c r="U113" s="114">
        <f>-63.8-66.9</f>
        <v>-130.69999999999999</v>
      </c>
      <c r="V113" s="114">
        <v>-115</v>
      </c>
      <c r="W113" s="114">
        <v>-110</v>
      </c>
      <c r="X113" s="114">
        <v>-110</v>
      </c>
      <c r="Y113" s="114">
        <v>-112</v>
      </c>
      <c r="Z113" s="114">
        <v>-107</v>
      </c>
      <c r="AA113" s="114">
        <v>-115</v>
      </c>
      <c r="AB113" s="114">
        <v>-118</v>
      </c>
      <c r="AC113" s="114">
        <v>-120</v>
      </c>
      <c r="AD113" s="114">
        <v>-125</v>
      </c>
      <c r="AE113" s="114">
        <v>-173</v>
      </c>
      <c r="AF113" s="114">
        <v>-166</v>
      </c>
      <c r="AG113" s="113">
        <v>240</v>
      </c>
      <c r="AH113" s="47">
        <f t="shared" si="9"/>
        <v>151.1</v>
      </c>
      <c r="AI113" s="48">
        <f t="shared" si="10"/>
        <v>-173</v>
      </c>
    </row>
    <row r="114" spans="1:37" x14ac:dyDescent="0.25">
      <c r="A114" s="102" t="s">
        <v>122</v>
      </c>
      <c r="B114" s="114">
        <v>-12.8</v>
      </c>
      <c r="C114" s="114">
        <v>-10.5</v>
      </c>
      <c r="D114" s="114">
        <v>-10.5</v>
      </c>
      <c r="E114" s="114">
        <v>-10.1</v>
      </c>
      <c r="F114" s="114">
        <v>-9.6</v>
      </c>
      <c r="G114" s="114">
        <v>-5.0999999999999996</v>
      </c>
      <c r="H114" s="114">
        <v>-5.9</v>
      </c>
      <c r="I114" s="114">
        <v>-6.3</v>
      </c>
      <c r="J114" s="114">
        <v>-1.2</v>
      </c>
      <c r="K114" s="114">
        <v>1.2</v>
      </c>
      <c r="L114" s="114">
        <v>-1.7</v>
      </c>
      <c r="M114" s="114">
        <v>-3.2</v>
      </c>
      <c r="N114" s="114">
        <v>0.7</v>
      </c>
      <c r="O114" s="114">
        <v>0</v>
      </c>
      <c r="P114" s="114">
        <v>10</v>
      </c>
      <c r="Q114" s="114">
        <v>9.1</v>
      </c>
      <c r="R114" s="114"/>
      <c r="S114" s="114">
        <v>3.2</v>
      </c>
      <c r="T114" s="114">
        <v>2</v>
      </c>
      <c r="U114" s="114">
        <v>2.4</v>
      </c>
      <c r="V114" s="114">
        <v>4</v>
      </c>
      <c r="W114" s="114">
        <v>4</v>
      </c>
      <c r="X114" s="114">
        <v>7</v>
      </c>
      <c r="Y114" s="114">
        <v>9</v>
      </c>
      <c r="Z114" s="114">
        <v>10</v>
      </c>
      <c r="AA114" s="114">
        <v>7.3</v>
      </c>
      <c r="AB114" s="114">
        <v>4</v>
      </c>
      <c r="AC114" s="114">
        <v>3.5</v>
      </c>
      <c r="AD114" s="114">
        <v>0</v>
      </c>
      <c r="AE114" s="114">
        <v>-8</v>
      </c>
      <c r="AF114" s="114">
        <v>-6</v>
      </c>
      <c r="AG114" s="113">
        <v>60</v>
      </c>
      <c r="AH114" s="47">
        <f t="shared" si="9"/>
        <v>10</v>
      </c>
      <c r="AI114" s="48">
        <f t="shared" si="10"/>
        <v>-12.8</v>
      </c>
    </row>
    <row r="115" spans="1:37" x14ac:dyDescent="0.25">
      <c r="A115" s="115" t="s">
        <v>123</v>
      </c>
      <c r="B115" s="116">
        <v>21.8</v>
      </c>
      <c r="C115" s="116">
        <v>21.3</v>
      </c>
      <c r="D115" s="116">
        <v>16.2</v>
      </c>
      <c r="E115" s="116">
        <v>16.3</v>
      </c>
      <c r="F115" s="116">
        <v>16.2</v>
      </c>
      <c r="G115" s="116">
        <v>16.3</v>
      </c>
      <c r="H115" s="116">
        <v>26.2</v>
      </c>
      <c r="I115" s="116">
        <v>26.3</v>
      </c>
      <c r="J115" s="116">
        <v>26.2</v>
      </c>
      <c r="K115" s="116">
        <v>26.3</v>
      </c>
      <c r="L115" s="116">
        <v>38.799999999999997</v>
      </c>
      <c r="M115" s="116">
        <v>46.7</v>
      </c>
      <c r="N115" s="116">
        <v>46.6</v>
      </c>
      <c r="O115" s="116">
        <v>46.5</v>
      </c>
      <c r="P115" s="116">
        <v>46.5</v>
      </c>
      <c r="Q115" s="116">
        <v>38.799999999999997</v>
      </c>
      <c r="R115" s="116"/>
      <c r="S115" s="116">
        <v>41.3</v>
      </c>
      <c r="T115" s="116">
        <v>48.1</v>
      </c>
      <c r="U115" s="116">
        <v>45.5</v>
      </c>
      <c r="V115" s="116">
        <v>45</v>
      </c>
      <c r="W115" s="116">
        <v>45.1</v>
      </c>
      <c r="X115" s="116">
        <v>49</v>
      </c>
      <c r="Y115" s="116">
        <v>56</v>
      </c>
      <c r="Z115" s="116">
        <v>55</v>
      </c>
      <c r="AA115" s="116">
        <v>55</v>
      </c>
      <c r="AB115" s="116">
        <v>58.5</v>
      </c>
      <c r="AC115" s="116">
        <v>43</v>
      </c>
      <c r="AD115" s="116">
        <v>44</v>
      </c>
      <c r="AE115" s="116">
        <v>29</v>
      </c>
      <c r="AF115" s="116">
        <v>0</v>
      </c>
      <c r="AG115" s="117">
        <v>120</v>
      </c>
      <c r="AH115" s="47">
        <f t="shared" si="9"/>
        <v>58.5</v>
      </c>
      <c r="AI115" s="48">
        <f t="shared" si="10"/>
        <v>0</v>
      </c>
    </row>
    <row r="116" spans="1:37" x14ac:dyDescent="0.25">
      <c r="A116" s="115" t="s">
        <v>124</v>
      </c>
      <c r="B116" s="116">
        <v>45.8</v>
      </c>
      <c r="C116" s="116">
        <v>30.3</v>
      </c>
      <c r="D116" s="116">
        <v>35.4</v>
      </c>
      <c r="E116" s="116">
        <v>33.9</v>
      </c>
      <c r="F116" s="116">
        <v>24.3</v>
      </c>
      <c r="G116" s="116">
        <v>24.7</v>
      </c>
      <c r="H116" s="116">
        <v>9.3000000000000007</v>
      </c>
      <c r="I116" s="116">
        <v>16.37</v>
      </c>
      <c r="J116" s="116">
        <v>19.7</v>
      </c>
      <c r="K116" s="116">
        <v>32.299999999999997</v>
      </c>
      <c r="L116" s="116">
        <v>16.2</v>
      </c>
      <c r="M116" s="116">
        <v>10.7</v>
      </c>
      <c r="N116" s="116">
        <v>24.2</v>
      </c>
      <c r="O116" s="116">
        <v>33.4</v>
      </c>
      <c r="P116" s="116">
        <v>16</v>
      </c>
      <c r="Q116" s="116">
        <v>40.1</v>
      </c>
      <c r="R116" s="116"/>
      <c r="S116" s="116">
        <v>32.9</v>
      </c>
      <c r="T116" s="116">
        <v>24</v>
      </c>
      <c r="U116" s="116">
        <v>19.3</v>
      </c>
      <c r="V116" s="116">
        <v>17</v>
      </c>
      <c r="W116" s="116">
        <v>18</v>
      </c>
      <c r="X116" s="116">
        <v>7</v>
      </c>
      <c r="Y116" s="116">
        <v>14</v>
      </c>
      <c r="Z116" s="116">
        <v>22</v>
      </c>
      <c r="AA116" s="116">
        <v>28</v>
      </c>
      <c r="AB116" s="116">
        <v>30.5</v>
      </c>
      <c r="AC116" s="116">
        <v>33</v>
      </c>
      <c r="AD116" s="116">
        <v>43</v>
      </c>
      <c r="AE116" s="116">
        <v>50</v>
      </c>
      <c r="AF116" s="116">
        <v>30</v>
      </c>
      <c r="AG116" s="117"/>
      <c r="AH116" s="47">
        <f t="shared" si="9"/>
        <v>50</v>
      </c>
      <c r="AI116" s="48">
        <f t="shared" si="10"/>
        <v>7</v>
      </c>
    </row>
    <row r="117" spans="1:37" x14ac:dyDescent="0.25">
      <c r="A117" s="115" t="s">
        <v>125</v>
      </c>
      <c r="B117" s="116">
        <v>2.9</v>
      </c>
      <c r="C117" s="116">
        <v>4.2</v>
      </c>
      <c r="D117" s="116">
        <v>2.5</v>
      </c>
      <c r="E117" s="116">
        <v>0</v>
      </c>
      <c r="F117" s="116">
        <v>-4.5999999999999996</v>
      </c>
      <c r="G117" s="116">
        <v>-5.4</v>
      </c>
      <c r="H117" s="116">
        <v>-8.1999999999999993</v>
      </c>
      <c r="I117" s="116">
        <v>-13.8</v>
      </c>
      <c r="J117" s="116">
        <v>-19.399999999999999</v>
      </c>
      <c r="K117" s="116">
        <v>-17.5</v>
      </c>
      <c r="L117" s="116">
        <v>-25.8</v>
      </c>
      <c r="M117" s="116">
        <v>-29.6</v>
      </c>
      <c r="N117" s="116">
        <v>-21.3</v>
      </c>
      <c r="O117" s="116">
        <v>-12.9</v>
      </c>
      <c r="P117" s="116">
        <v>-13.6</v>
      </c>
      <c r="Q117" s="116">
        <v>-15.2</v>
      </c>
      <c r="R117" s="116"/>
      <c r="S117" s="116">
        <v>-12.2</v>
      </c>
      <c r="T117" s="116">
        <v>-20</v>
      </c>
      <c r="U117" s="116">
        <v>-24.8</v>
      </c>
      <c r="V117" s="116">
        <v>-27</v>
      </c>
      <c r="W117" s="116">
        <v>-23</v>
      </c>
      <c r="X117" s="116">
        <v>-20</v>
      </c>
      <c r="Y117" s="116">
        <v>-23</v>
      </c>
      <c r="Z117" s="116">
        <v>-19</v>
      </c>
      <c r="AA117" s="116">
        <v>-20</v>
      </c>
      <c r="AB117" s="116">
        <v>-18.100000000000001</v>
      </c>
      <c r="AC117" s="116">
        <v>-16</v>
      </c>
      <c r="AD117" s="116">
        <v>-4.5</v>
      </c>
      <c r="AE117" s="116">
        <v>0</v>
      </c>
      <c r="AF117" s="116">
        <v>3</v>
      </c>
      <c r="AG117" s="118"/>
      <c r="AH117" s="47">
        <f t="shared" si="9"/>
        <v>4.2</v>
      </c>
      <c r="AI117" s="48">
        <f t="shared" si="10"/>
        <v>-29.6</v>
      </c>
    </row>
    <row r="118" spans="1:37" x14ac:dyDescent="0.25">
      <c r="A118" s="119" t="s">
        <v>126</v>
      </c>
      <c r="B118" s="105">
        <v>51.1</v>
      </c>
      <c r="C118" s="105">
        <v>43.5</v>
      </c>
      <c r="D118" s="105">
        <v>46.1</v>
      </c>
      <c r="E118" s="105">
        <v>42.6</v>
      </c>
      <c r="F118" s="105">
        <v>52.2</v>
      </c>
      <c r="G118" s="105">
        <v>50</v>
      </c>
      <c r="H118" s="105">
        <v>58.5</v>
      </c>
      <c r="I118" s="105">
        <v>40.799999999999997</v>
      </c>
      <c r="J118" s="105">
        <v>54</v>
      </c>
      <c r="K118" s="105">
        <v>48.5</v>
      </c>
      <c r="L118" s="105">
        <v>49.3</v>
      </c>
      <c r="M118" s="105">
        <v>34.9</v>
      </c>
      <c r="N118" s="105">
        <v>31.8</v>
      </c>
      <c r="O118" s="105">
        <v>24.6</v>
      </c>
      <c r="P118" s="105">
        <v>33.1</v>
      </c>
      <c r="Q118" s="105">
        <v>29.8</v>
      </c>
      <c r="R118" s="105"/>
      <c r="S118" s="105">
        <v>30.9</v>
      </c>
      <c r="T118" s="105">
        <v>34</v>
      </c>
      <c r="U118" s="105">
        <v>26.8</v>
      </c>
      <c r="V118" s="105">
        <v>26</v>
      </c>
      <c r="W118" s="105">
        <v>33</v>
      </c>
      <c r="X118" s="105">
        <v>29</v>
      </c>
      <c r="Y118" s="105">
        <v>17.399999999999999</v>
      </c>
      <c r="Z118" s="105">
        <v>19</v>
      </c>
      <c r="AA118" s="105">
        <v>25</v>
      </c>
      <c r="AB118" s="105">
        <v>23.4</v>
      </c>
      <c r="AC118" s="105">
        <v>20</v>
      </c>
      <c r="AD118" s="105">
        <v>20</v>
      </c>
      <c r="AE118" s="105">
        <v>33</v>
      </c>
      <c r="AF118" s="105">
        <v>30</v>
      </c>
      <c r="AG118" s="118"/>
      <c r="AH118" s="47">
        <f t="shared" si="9"/>
        <v>58.5</v>
      </c>
      <c r="AI118" s="48">
        <f t="shared" si="10"/>
        <v>17.399999999999999</v>
      </c>
    </row>
    <row r="119" spans="1:37" x14ac:dyDescent="0.25">
      <c r="A119" s="120" t="s">
        <v>127</v>
      </c>
      <c r="B119" s="105">
        <v>93.4</v>
      </c>
      <c r="C119" s="105">
        <v>91.2</v>
      </c>
      <c r="D119" s="105">
        <v>95.4</v>
      </c>
      <c r="E119" s="105">
        <v>96.3</v>
      </c>
      <c r="F119" s="105">
        <v>103.5</v>
      </c>
      <c r="G119" s="105">
        <v>93.1</v>
      </c>
      <c r="H119" s="105">
        <v>104.3</v>
      </c>
      <c r="I119" s="105">
        <v>101.2</v>
      </c>
      <c r="J119" s="105">
        <v>93.4</v>
      </c>
      <c r="K119" s="105">
        <v>91</v>
      </c>
      <c r="L119" s="105">
        <v>94.3</v>
      </c>
      <c r="M119" s="105">
        <v>103.8</v>
      </c>
      <c r="N119" s="105">
        <v>101.2</v>
      </c>
      <c r="O119" s="105">
        <v>97</v>
      </c>
      <c r="P119" s="105">
        <v>100.8</v>
      </c>
      <c r="Q119" s="105">
        <v>95.9</v>
      </c>
      <c r="R119" s="105"/>
      <c r="S119" s="105">
        <v>87.2</v>
      </c>
      <c r="T119" s="105">
        <v>95</v>
      </c>
      <c r="U119" s="105">
        <v>92.6</v>
      </c>
      <c r="V119" s="105">
        <v>84</v>
      </c>
      <c r="W119" s="105">
        <v>79</v>
      </c>
      <c r="X119" s="105">
        <v>79</v>
      </c>
      <c r="Y119" s="105">
        <v>87</v>
      </c>
      <c r="Z119" s="105">
        <v>92</v>
      </c>
      <c r="AA119" s="105">
        <v>88</v>
      </c>
      <c r="AB119" s="105">
        <v>90</v>
      </c>
      <c r="AC119" s="105">
        <v>96</v>
      </c>
      <c r="AD119" s="105">
        <v>92</v>
      </c>
      <c r="AE119" s="105">
        <v>84</v>
      </c>
      <c r="AF119" s="105">
        <v>83</v>
      </c>
      <c r="AG119" s="118"/>
      <c r="AH119" s="47">
        <f t="shared" si="9"/>
        <v>104.3</v>
      </c>
      <c r="AI119" s="48">
        <f t="shared" si="10"/>
        <v>79</v>
      </c>
    </row>
    <row r="120" spans="1:37" ht="15.75" thickBot="1" x14ac:dyDescent="0.3">
      <c r="A120" s="119" t="s">
        <v>128</v>
      </c>
      <c r="B120" s="105">
        <v>34.6</v>
      </c>
      <c r="C120" s="105">
        <v>37.6</v>
      </c>
      <c r="D120" s="105">
        <v>34.6</v>
      </c>
      <c r="E120" s="105">
        <v>29.1</v>
      </c>
      <c r="F120" s="105">
        <v>27</v>
      </c>
      <c r="G120" s="105">
        <v>26</v>
      </c>
      <c r="H120" s="105">
        <v>10.4</v>
      </c>
      <c r="I120" s="105">
        <v>7.1</v>
      </c>
      <c r="J120" s="105">
        <v>2.2999999999999998</v>
      </c>
      <c r="K120" s="105">
        <v>9.5</v>
      </c>
      <c r="L120" s="105">
        <v>13.5</v>
      </c>
      <c r="M120" s="105">
        <v>26</v>
      </c>
      <c r="N120" s="105">
        <v>27.9</v>
      </c>
      <c r="O120" s="105">
        <v>35.200000000000003</v>
      </c>
      <c r="P120" s="105">
        <v>27.2</v>
      </c>
      <c r="Q120" s="105">
        <v>29.5</v>
      </c>
      <c r="R120" s="105"/>
      <c r="S120" s="105">
        <v>30</v>
      </c>
      <c r="T120" s="105">
        <v>28.1</v>
      </c>
      <c r="U120" s="105">
        <v>27.7</v>
      </c>
      <c r="V120" s="105">
        <v>4</v>
      </c>
      <c r="W120" s="105">
        <v>4</v>
      </c>
      <c r="X120" s="105">
        <v>22</v>
      </c>
      <c r="Y120" s="105">
        <v>39</v>
      </c>
      <c r="Z120" s="105">
        <v>45</v>
      </c>
      <c r="AA120" s="105">
        <v>41</v>
      </c>
      <c r="AB120" s="105">
        <v>45.2</v>
      </c>
      <c r="AC120" s="105">
        <v>55</v>
      </c>
      <c r="AD120" s="105">
        <v>60</v>
      </c>
      <c r="AE120" s="105">
        <v>46</v>
      </c>
      <c r="AF120" s="105">
        <v>41</v>
      </c>
      <c r="AG120" s="118"/>
      <c r="AH120" s="47">
        <f t="shared" si="9"/>
        <v>60</v>
      </c>
      <c r="AI120" s="48">
        <f t="shared" si="10"/>
        <v>2.2999999999999998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2142.64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2048.44</v>
      </c>
      <c r="U249" s="170">
        <f t="shared" si="23"/>
        <v>2043.2400000000002</v>
      </c>
      <c r="V249" s="170">
        <f t="shared" si="23"/>
        <v>2040.4400000000003</v>
      </c>
      <c r="W249" s="170">
        <f t="shared" si="23"/>
        <v>2041.9400000000003</v>
      </c>
      <c r="X249" s="170">
        <f t="shared" si="23"/>
        <v>2040.9400000000003</v>
      </c>
      <c r="Y249" s="170">
        <f t="shared" si="23"/>
        <v>2045.7400000000002</v>
      </c>
      <c r="Z249" s="170">
        <f t="shared" si="23"/>
        <v>2065.84</v>
      </c>
      <c r="AA249" s="170">
        <f t="shared" si="23"/>
        <v>2066.6400000000003</v>
      </c>
      <c r="AB249" s="170">
        <f t="shared" si="23"/>
        <v>2080.84</v>
      </c>
      <c r="AC249" s="170">
        <f t="shared" si="23"/>
        <v>2078.7399999999998</v>
      </c>
      <c r="AD249" s="170">
        <f t="shared" si="23"/>
        <v>2101.6400000000003</v>
      </c>
      <c r="AE249" s="170">
        <f t="shared" si="23"/>
        <v>2118.64</v>
      </c>
      <c r="AF249" s="170">
        <f t="shared" si="23"/>
        <v>2142.64</v>
      </c>
      <c r="AG249" s="170">
        <f t="shared" si="23"/>
        <v>2143.6400000000003</v>
      </c>
      <c r="AH249" s="170">
        <f t="shared" si="23"/>
        <v>2153.54</v>
      </c>
      <c r="AI249" s="170">
        <f t="shared" si="23"/>
        <v>2153.64</v>
      </c>
      <c r="AJ249" s="170">
        <f t="shared" si="23"/>
        <v>2137.64</v>
      </c>
      <c r="AK249" s="170">
        <f t="shared" si="23"/>
        <v>2134.04</v>
      </c>
      <c r="AL249" s="170">
        <f t="shared" si="23"/>
        <v>2130.7400000000002</v>
      </c>
      <c r="AM249" s="170">
        <f t="shared" si="23"/>
        <v>2125.04</v>
      </c>
      <c r="AN249" s="170">
        <f t="shared" si="23"/>
        <v>2081.54</v>
      </c>
      <c r="AO249" s="170">
        <f t="shared" si="23"/>
        <v>2091.1400000000003</v>
      </c>
      <c r="AP249" s="170">
        <f t="shared" si="23"/>
        <v>2112.6400000000003</v>
      </c>
      <c r="AQ249" s="170">
        <f t="shared" si="23"/>
        <v>2144.34</v>
      </c>
      <c r="AR249" s="170">
        <f t="shared" si="23"/>
        <v>2239.94</v>
      </c>
      <c r="AS249" s="170">
        <f t="shared" si="23"/>
        <v>2236.84</v>
      </c>
      <c r="AT249" s="170">
        <f t="shared" si="23"/>
        <v>2238.6400000000003</v>
      </c>
      <c r="AU249" s="170">
        <f t="shared" si="23"/>
        <v>2238.84</v>
      </c>
      <c r="AV249" s="170">
        <f t="shared" si="23"/>
        <v>2196.84</v>
      </c>
      <c r="AW249" s="170">
        <f t="shared" si="23"/>
        <v>2173.2399999999998</v>
      </c>
      <c r="AX249" s="170">
        <f t="shared" si="23"/>
        <v>2080.7399999999998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668" priority="64">
      <formula>$AH11=0</formula>
    </cfRule>
  </conditionalFormatting>
  <conditionalFormatting sqref="B8 M8 S8 AB8">
    <cfRule type="expression" dxfId="1667" priority="117">
      <formula>C$9&lt;8/24</formula>
    </cfRule>
    <cfRule type="expression" dxfId="1666" priority="116">
      <formula>AND(C$9&gt;=8/24,C$9&lt;14/24)</formula>
    </cfRule>
    <cfRule type="expression" dxfId="1665" priority="115">
      <formula>AND(C$9&gt;=14/24,C$9&lt;20/24)</formula>
    </cfRule>
  </conditionalFormatting>
  <conditionalFormatting sqref="B55:Z60">
    <cfRule type="expression" dxfId="1664" priority="53">
      <formula>AND(B$9&gt;=8/24,B$9&lt;14/24)</formula>
    </cfRule>
    <cfRule type="expression" dxfId="1663" priority="52">
      <formula>AND(B$9&gt;=14/24,B$9&lt;20/24)</formula>
    </cfRule>
    <cfRule type="expression" dxfId="1662" priority="51">
      <formula>B$9&gt;=20/24</formula>
    </cfRule>
    <cfRule type="expression" dxfId="1661" priority="54">
      <formula>B$9&lt;8/24</formula>
    </cfRule>
  </conditionalFormatting>
  <conditionalFormatting sqref="B9:AF45">
    <cfRule type="expression" dxfId="1660" priority="23">
      <formula>B$9&gt;=20/24</formula>
    </cfRule>
    <cfRule type="expression" dxfId="1659" priority="24">
      <formula>AND(B$9&gt;=14/24,B$9&lt;20/24)</formula>
    </cfRule>
    <cfRule type="expression" dxfId="1658" priority="25">
      <formula>AND(B$9&gt;=8/24,B$9&lt;14/24)</formula>
    </cfRule>
    <cfRule type="expression" dxfId="1657" priority="26">
      <formula>B$9&lt;8/24</formula>
    </cfRule>
  </conditionalFormatting>
  <conditionalFormatting sqref="B11:AF46">
    <cfRule type="expression" dxfId="1656" priority="22">
      <formula>B11&gt;$AG11</formula>
    </cfRule>
  </conditionalFormatting>
  <conditionalFormatting sqref="B46:AF46">
    <cfRule type="expression" dxfId="1655" priority="18">
      <formula>B$9&gt;=20/24</formula>
    </cfRule>
    <cfRule type="expression" dxfId="1654" priority="19">
      <formula>AND(B$9&gt;=14/24,B$9&lt;20/24)</formula>
    </cfRule>
    <cfRule type="expression" dxfId="1653" priority="20">
      <formula>AND(B$9&gt;=8/24,B$9&lt;14/24)</formula>
    </cfRule>
    <cfRule type="expression" dxfId="1652" priority="21">
      <formula>B$9&lt;8/24</formula>
    </cfRule>
  </conditionalFormatting>
  <conditionalFormatting sqref="B47:AF47">
    <cfRule type="expression" dxfId="1651" priority="32">
      <formula>B47&gt;$AG47</formula>
    </cfRule>
  </conditionalFormatting>
  <conditionalFormatting sqref="B47:AF49">
    <cfRule type="expression" dxfId="1650" priority="31">
      <formula>B$9&lt;8/24</formula>
    </cfRule>
    <cfRule type="expression" dxfId="1649" priority="28">
      <formula>B$9&gt;=20/24</formula>
    </cfRule>
    <cfRule type="expression" dxfId="1648" priority="30">
      <formula>AND(B$9&gt;=8/24,B$9&lt;14/24)</formula>
    </cfRule>
    <cfRule type="expression" dxfId="1647" priority="29">
      <formula>AND(B$9&gt;=14/24,B$9&lt;20/24)</formula>
    </cfRule>
  </conditionalFormatting>
  <conditionalFormatting sqref="B48:AF53">
    <cfRule type="expression" dxfId="1646" priority="27">
      <formula>B48&gt;$AG48</formula>
    </cfRule>
  </conditionalFormatting>
  <conditionalFormatting sqref="B51:AF53">
    <cfRule type="expression" dxfId="1645" priority="50">
      <formula>B$9&lt;8/24</formula>
    </cfRule>
    <cfRule type="expression" dxfId="1644" priority="49">
      <formula>AND(B$9&gt;=8/24,B$9&lt;14/24)</formula>
    </cfRule>
    <cfRule type="expression" dxfId="1643" priority="48">
      <formula>AND(B$9&gt;=14/24,B$9&lt;20/24)</formula>
    </cfRule>
    <cfRule type="expression" dxfId="1642" priority="47">
      <formula>B$9&gt;=20/24</formula>
    </cfRule>
  </conditionalFormatting>
  <conditionalFormatting sqref="B55:AF66">
    <cfRule type="expression" dxfId="1641" priority="5">
      <formula>B55&gt;$AG55</formula>
    </cfRule>
  </conditionalFormatting>
  <conditionalFormatting sqref="B61:AF66">
    <cfRule type="expression" dxfId="1640" priority="9">
      <formula>B$9&lt;8/24</formula>
    </cfRule>
    <cfRule type="expression" dxfId="1639" priority="8">
      <formula>AND(B$9&gt;=8/24,B$9&lt;14/24)</formula>
    </cfRule>
    <cfRule type="expression" dxfId="1638" priority="6">
      <formula>B$9&gt;=20/24</formula>
    </cfRule>
    <cfRule type="expression" dxfId="1637" priority="7">
      <formula>AND(B$9&gt;=14/24,B$9&lt;20/24)</formula>
    </cfRule>
  </conditionalFormatting>
  <conditionalFormatting sqref="B69:AF71">
    <cfRule type="expression" dxfId="1636" priority="55">
      <formula>B69&gt;$AG69</formula>
    </cfRule>
    <cfRule type="expression" dxfId="1635" priority="56">
      <formula>B$9&gt;=20/24</formula>
    </cfRule>
    <cfRule type="expression" dxfId="1634" priority="57">
      <formula>AND(B$9&gt;=14/24,B$9&lt;20/24)</formula>
    </cfRule>
    <cfRule type="expression" dxfId="1633" priority="58">
      <formula>AND(B$9&gt;=8/24,B$9&lt;14/24)</formula>
    </cfRule>
    <cfRule type="expression" dxfId="1632" priority="59">
      <formula>B$9&lt;8/24</formula>
    </cfRule>
  </conditionalFormatting>
  <conditionalFormatting sqref="B73:AF91">
    <cfRule type="expression" dxfId="1631" priority="1">
      <formula>B$9&gt;=20/24</formula>
    </cfRule>
    <cfRule type="expression" dxfId="1630" priority="4">
      <formula>B$9&lt;8/24</formula>
    </cfRule>
    <cfRule type="expression" dxfId="1629" priority="3">
      <formula>AND(B$9&gt;=8/24,B$9&lt;14/24)</formula>
    </cfRule>
    <cfRule type="expression" dxfId="1628" priority="2">
      <formula>AND(B$9&gt;=14/24,B$9&lt;20/24)</formula>
    </cfRule>
  </conditionalFormatting>
  <conditionalFormatting sqref="B111:AF120">
    <cfRule type="expression" dxfId="1627" priority="15">
      <formula>AND(B$9&gt;=14/24,B$9&lt;20/24)</formula>
    </cfRule>
    <cfRule type="expression" dxfId="1626" priority="14">
      <formula>B$9&gt;=20/24</formula>
    </cfRule>
    <cfRule type="expression" dxfId="1625" priority="16">
      <formula>AND(B$9&gt;=8/24,B$9&lt;14/24)</formula>
    </cfRule>
    <cfRule type="expression" dxfId="1624" priority="17">
      <formula>B$9&lt;8/24</formula>
    </cfRule>
  </conditionalFormatting>
  <conditionalFormatting sqref="B227:AF227 D229:AF230 B229:B235 D231:H231 J231:AF231 D232:AF235 U248:AF248">
    <cfRule type="expression" dxfId="1623" priority="108">
      <formula>B$9&gt;=20/24</formula>
    </cfRule>
    <cfRule type="expression" dxfId="1622" priority="111">
      <formula>B$9&lt;8/24</formula>
    </cfRule>
    <cfRule type="expression" dxfId="1621" priority="110">
      <formula>AND(B$9&gt;=8/24,B$9&lt;14/24)</formula>
    </cfRule>
    <cfRule type="expression" dxfId="1620" priority="109">
      <formula>AND(B$9&gt;=14/24,B$9&lt;20/24)</formula>
    </cfRule>
  </conditionalFormatting>
  <conditionalFormatting sqref="B54:AG54">
    <cfRule type="expression" dxfId="1619" priority="33">
      <formula>B54&gt;$AG54</formula>
    </cfRule>
    <cfRule type="expression" dxfId="1618" priority="38">
      <formula>B$9&gt;=20/24</formula>
    </cfRule>
    <cfRule type="expression" dxfId="1617" priority="39">
      <formula>AND(B$9&gt;=14/24,B$9&lt;20/24)</formula>
    </cfRule>
    <cfRule type="expression" dxfId="1616" priority="40">
      <formula>AND(B$9&gt;=8/24,B$9&lt;14/24)</formula>
    </cfRule>
    <cfRule type="expression" dxfId="1615" priority="41">
      <formula>B$9&lt;8/24</formula>
    </cfRule>
  </conditionalFormatting>
  <conditionalFormatting sqref="B67:AG68 B72:AG72">
    <cfRule type="expression" dxfId="1614" priority="42">
      <formula>B67&gt;$AG67</formula>
    </cfRule>
  </conditionalFormatting>
  <conditionalFormatting sqref="B72:AG72 B93:AF109">
    <cfRule type="expression" dxfId="1613" priority="43">
      <formula>B$9&gt;=20/24</formula>
    </cfRule>
    <cfRule type="expression" dxfId="1612" priority="44">
      <formula>AND(B$9&gt;=14/24,B$9&lt;20/24)</formula>
    </cfRule>
    <cfRule type="expression" dxfId="1611" priority="45">
      <formula>AND(B$9&gt;=8/24,B$9&lt;14/24)</formula>
    </cfRule>
    <cfRule type="expression" dxfId="1610" priority="46">
      <formula>B$9&lt;8/24</formula>
    </cfRule>
  </conditionalFormatting>
  <conditionalFormatting sqref="L55:Z57">
    <cfRule type="expression" dxfId="1609" priority="92">
      <formula>L$9&lt;8/24</formula>
    </cfRule>
    <cfRule type="expression" dxfId="1608" priority="89">
      <formula>L$9&gt;=20/24</formula>
    </cfRule>
    <cfRule type="expression" dxfId="1607" priority="90">
      <formula>AND(L$9&gt;=14/24,L$9&lt;20/24)</formula>
    </cfRule>
    <cfRule type="expression" dxfId="1606" priority="91">
      <formula>AND(L$9&gt;=8/24,L$9&lt;14/24)</formula>
    </cfRule>
  </conditionalFormatting>
  <conditionalFormatting sqref="M55:Z59">
    <cfRule type="expression" dxfId="1605" priority="93">
      <formula>M$9&gt;=20/24</formula>
    </cfRule>
    <cfRule type="expression" dxfId="1604" priority="94">
      <formula>AND(M$9&gt;=14/24,M$9&lt;20/24)</formula>
    </cfRule>
    <cfRule type="expression" dxfId="1603" priority="95">
      <formula>AND(M$9&gt;=8/24,M$9&lt;14/24)</formula>
    </cfRule>
    <cfRule type="expression" dxfId="1602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601" priority="114">
      <formula>C$9&gt;=20/24</formula>
    </cfRule>
  </conditionalFormatting>
  <conditionalFormatting sqref="S8">
    <cfRule type="expression" dxfId="1600" priority="101">
      <formula>U$9&gt;=20/24</formula>
    </cfRule>
    <cfRule type="expression" dxfId="1599" priority="102">
      <formula>AND(U$9&gt;=14/24,U$9&lt;20/24)</formula>
    </cfRule>
    <cfRule type="expression" dxfId="1598" priority="103">
      <formula>AND(U$9&gt;=8/24,U$9&lt;14/24)</formula>
    </cfRule>
    <cfRule type="expression" dxfId="1597" priority="104">
      <formula>U$9&lt;8/24</formula>
    </cfRule>
  </conditionalFormatting>
  <conditionalFormatting sqref="S55:AF60">
    <cfRule type="expression" dxfId="1596" priority="10">
      <formula>S$9&gt;=20/24</formula>
    </cfRule>
    <cfRule type="expression" dxfId="1595" priority="11">
      <formula>AND(S$9&gt;=14/24,S$9&lt;20/24)</formula>
    </cfRule>
    <cfRule type="expression" dxfId="1594" priority="12">
      <formula>AND(S$9&gt;=8/24,S$9&lt;14/24)</formula>
    </cfRule>
    <cfRule type="expression" dxfId="1593" priority="13">
      <formula>S$9&lt;8/24</formula>
    </cfRule>
  </conditionalFormatting>
  <conditionalFormatting sqref="T248">
    <cfRule type="expression" dxfId="1592" priority="129">
      <formula>AX$9&lt;8/24</formula>
    </cfRule>
    <cfRule type="expression" dxfId="1591" priority="128">
      <formula>AND(AX$9&gt;=8/24,AX$9&lt;14/24)</formula>
    </cfRule>
    <cfRule type="expression" dxfId="1590" priority="126">
      <formula>AX$9&gt;=20/24</formula>
    </cfRule>
    <cfRule type="expression" dxfId="1589" priority="127">
      <formula>AND(AX$9&gt;=14/24,AX$9&lt;20/24)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588" priority="100">
      <formula>AD$9&lt;8/24</formula>
    </cfRule>
    <cfRule type="expression" dxfId="1587" priority="99">
      <formula>AND(AD$9&gt;=8/24,AD$9&lt;14/24)</formula>
    </cfRule>
    <cfRule type="expression" dxfId="1586" priority="97">
      <formula>AD$9&gt;=20/24</formula>
    </cfRule>
    <cfRule type="expression" dxfId="1585" priority="98">
      <formula>AND(AD$9&gt;=14/24,AD$9&lt;20/24)</formula>
    </cfRule>
  </conditionalFormatting>
  <conditionalFormatting sqref="AG50">
    <cfRule type="expression" dxfId="1584" priority="84">
      <formula>AG50&gt;$AG50</formula>
    </cfRule>
  </conditionalFormatting>
  <conditionalFormatting sqref="AG89">
    <cfRule type="expression" dxfId="1583" priority="88">
      <formula>AG$9&lt;8/24</formula>
    </cfRule>
    <cfRule type="expression" dxfId="1582" priority="87">
      <formula>AND(AG$9&gt;=8/24,AG$9&lt;14/24)</formula>
    </cfRule>
    <cfRule type="expression" dxfId="1581" priority="86">
      <formula>AND(AG$9&gt;=14/24,AG$9&lt;20/24)</formula>
    </cfRule>
    <cfRule type="expression" dxfId="1580" priority="85">
      <formula>AG$9&gt;=20/24</formula>
    </cfRule>
  </conditionalFormatting>
  <conditionalFormatting sqref="AG248">
    <cfRule type="expression" dxfId="1579" priority="118">
      <formula>B$9&gt;=20/24</formula>
    </cfRule>
    <cfRule type="expression" dxfId="1578" priority="121">
      <formula>B$9&lt;8/24</formula>
    </cfRule>
    <cfRule type="expression" dxfId="1577" priority="119">
      <formula>AND(B$9&gt;=14/24,B$9&lt;20/24)</formula>
    </cfRule>
    <cfRule type="expression" dxfId="1576" priority="120">
      <formula>AND(B$9&gt;=8/24,B$9&lt;14/24)</formula>
    </cfRule>
  </conditionalFormatting>
  <conditionalFormatting sqref="AH248:AX248">
    <cfRule type="expression" dxfId="1575" priority="125">
      <formula>AG$9&lt;8/24</formula>
    </cfRule>
    <cfRule type="expression" dxfId="1574" priority="124">
      <formula>AND(AG$9&gt;=8/24,AG$9&lt;14/24)</formula>
    </cfRule>
    <cfRule type="expression" dxfId="1573" priority="123">
      <formula>AND(AG$9&gt;=14/24,AG$9&lt;20/24)</formula>
    </cfRule>
    <cfRule type="expression" dxfId="1572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571" priority="134">
      <formula>AJ$9&lt;8/24</formula>
    </cfRule>
    <cfRule type="expression" dxfId="1570" priority="131">
      <formula>AJ$9&gt;=20/24</formula>
    </cfRule>
    <cfRule type="expression" dxfId="1569" priority="132">
      <formula>AND(AJ$9&gt;=14/24,AJ$9&lt;20/24)</formula>
    </cfRule>
    <cfRule type="expression" dxfId="1568" priority="133">
      <formula>AND(AJ$9&gt;=8/24,AJ$9&lt;14/24)</formula>
    </cfRule>
  </conditionalFormatting>
  <conditionalFormatting sqref="AL80:AN80 AL86:AN86">
    <cfRule type="expression" dxfId="1567" priority="72">
      <formula>AL$9&gt;=20/24</formula>
    </cfRule>
    <cfRule type="expression" dxfId="1566" priority="75">
      <formula>AL$9&lt;8/24</formula>
    </cfRule>
    <cfRule type="expression" dxfId="1565" priority="74">
      <formula>AND(AL$9&gt;=8/24,AL$9&lt;14/24)</formula>
    </cfRule>
    <cfRule type="expression" dxfId="1564" priority="73">
      <formula>AND(AL$9&gt;=14/24,AL$9&lt;20/24)</formula>
    </cfRule>
  </conditionalFormatting>
  <conditionalFormatting sqref="AN81:AN84">
    <cfRule type="expression" dxfId="1563" priority="70">
      <formula>AND(AN$9&gt;=8/24,AN$9&lt;14/24)</formula>
    </cfRule>
    <cfRule type="expression" dxfId="1562" priority="71">
      <formula>AN$9&lt;8/24</formula>
    </cfRule>
    <cfRule type="expression" dxfId="1561" priority="68">
      <formula>AN$9&gt;=20/24</formula>
    </cfRule>
    <cfRule type="expression" dxfId="1560" priority="69">
      <formula>AND(AN$9&gt;=14/24,AN$9&lt;20/24)</formula>
    </cfRule>
  </conditionalFormatting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A6D96-C27D-4151-AF6F-7B891CA21E4A}">
  <sheetPr codeName="Sheet25"/>
  <dimension ref="A1:CJ281"/>
  <sheetViews>
    <sheetView workbookViewId="0">
      <pane xSplit="1" ySplit="10" topLeftCell="B2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Z111" sqref="Z111:Z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2080/05/21</v>
      </c>
      <c r="C4" s="196"/>
      <c r="D4" s="196"/>
      <c r="E4" s="197" t="str">
        <f ca="1">"2080/"&amp;"05/"&amp;INT(MID(CELL("filename",G6),FIND("]",CELL("filename",G6))+1,200))</f>
        <v>2080/05/21</v>
      </c>
      <c r="F4" s="197"/>
      <c r="G4" s="197"/>
      <c r="H4" s="197" t="str">
        <f ca="1">TEXT(E4,"dddd")</f>
        <v>Tuesday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9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16.899999999999999</v>
      </c>
      <c r="M5" s="30">
        <f t="shared" si="0"/>
        <v>14.7</v>
      </c>
      <c r="N5" s="30">
        <f t="shared" si="0"/>
        <v>35</v>
      </c>
      <c r="O5" s="30">
        <f t="shared" si="0"/>
        <v>0.14000000000000001</v>
      </c>
      <c r="P5" s="30">
        <f t="shared" si="0"/>
        <v>4.2</v>
      </c>
      <c r="Q5" s="30">
        <f t="shared" si="0"/>
        <v>4.2</v>
      </c>
      <c r="R5" s="30">
        <f t="shared" si="0"/>
        <v>15.2</v>
      </c>
      <c r="S5" s="30">
        <f t="shared" si="0"/>
        <v>5.2</v>
      </c>
      <c r="T5" s="30">
        <f t="shared" si="0"/>
        <v>10.4</v>
      </c>
      <c r="U5" s="30">
        <f t="shared" si="0"/>
        <v>14.4</v>
      </c>
      <c r="V5" s="30">
        <f t="shared" si="0"/>
        <v>0</v>
      </c>
      <c r="W5" s="30">
        <f t="shared" si="0"/>
        <v>0</v>
      </c>
      <c r="X5" s="30">
        <f t="shared" si="0"/>
        <v>48.2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45</v>
      </c>
      <c r="AD5" s="30">
        <f t="shared" si="0"/>
        <v>0</v>
      </c>
      <c r="AE5" s="30">
        <f t="shared" si="0"/>
        <v>0</v>
      </c>
      <c r="AF5" s="30">
        <f>B84</f>
        <v>5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2189MW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Load=2006</v>
      </c>
      <c r="B7" s="35">
        <f t="shared" ref="B7:AF7" si="1">B91</f>
        <v>2045.24</v>
      </c>
      <c r="C7" s="35">
        <f t="shared" si="1"/>
        <v>2015.24</v>
      </c>
      <c r="D7" s="35">
        <f t="shared" si="1"/>
        <v>2006.24</v>
      </c>
      <c r="E7" s="35">
        <f t="shared" si="1"/>
        <v>2006.24</v>
      </c>
      <c r="F7" s="35">
        <f t="shared" si="1"/>
        <v>2006.24</v>
      </c>
      <c r="G7" s="35">
        <f t="shared" si="1"/>
        <v>2006.24</v>
      </c>
      <c r="H7" s="35">
        <f t="shared" si="1"/>
        <v>2006.24</v>
      </c>
      <c r="I7" s="35">
        <f t="shared" si="1"/>
        <v>2034.74</v>
      </c>
      <c r="J7" s="35">
        <f t="shared" si="1"/>
        <v>2091.7399999999998</v>
      </c>
      <c r="K7" s="35">
        <f t="shared" si="1"/>
        <v>2096.7399999999998</v>
      </c>
      <c r="L7" s="35">
        <f t="shared" si="1"/>
        <v>2096.7399999999998</v>
      </c>
      <c r="M7" s="35">
        <f t="shared" si="1"/>
        <v>2189.04</v>
      </c>
      <c r="N7" s="35">
        <f>N91</f>
        <v>2163.04</v>
      </c>
      <c r="O7" s="35">
        <f t="shared" si="1"/>
        <v>2177.04</v>
      </c>
      <c r="P7" s="35">
        <f t="shared" si="1"/>
        <v>2072.1799999999998</v>
      </c>
      <c r="Q7" s="35">
        <f t="shared" si="1"/>
        <v>2132.5399999999995</v>
      </c>
      <c r="R7" s="35">
        <f t="shared" si="1"/>
        <v>2174.4399999999996</v>
      </c>
      <c r="S7" s="35">
        <f t="shared" si="1"/>
        <v>2186.4399999999996</v>
      </c>
      <c r="T7" s="35">
        <f t="shared" si="1"/>
        <v>2101.3399999999997</v>
      </c>
      <c r="U7" s="35">
        <f t="shared" si="1"/>
        <v>2102.04</v>
      </c>
      <c r="V7" s="35">
        <f t="shared" si="1"/>
        <v>2120.44</v>
      </c>
      <c r="W7" s="35">
        <f t="shared" si="1"/>
        <v>2093.04</v>
      </c>
      <c r="X7" s="35">
        <f t="shared" si="1"/>
        <v>2086.44</v>
      </c>
      <c r="Y7" s="35">
        <f t="shared" si="1"/>
        <v>2134.64</v>
      </c>
      <c r="Z7" s="35">
        <f t="shared" si="1"/>
        <v>2188.2400000000002</v>
      </c>
      <c r="AA7" s="35">
        <f t="shared" si="1"/>
        <v>2187.2400000000002</v>
      </c>
      <c r="AB7" s="35">
        <f t="shared" si="1"/>
        <v>2164.94</v>
      </c>
      <c r="AC7" s="35">
        <f t="shared" si="1"/>
        <v>2137.84</v>
      </c>
      <c r="AD7" s="35">
        <f t="shared" si="1"/>
        <v>2108.64</v>
      </c>
      <c r="AE7" s="35">
        <f t="shared" si="1"/>
        <v>2020.4399999999998</v>
      </c>
      <c r="AF7" s="35">
        <f t="shared" si="1"/>
        <v>2006.74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90.2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8</v>
      </c>
      <c r="K12" s="45">
        <v>13</v>
      </c>
      <c r="L12" s="45">
        <v>13</v>
      </c>
      <c r="M12" s="45">
        <v>13</v>
      </c>
      <c r="N12" s="45">
        <v>13</v>
      </c>
      <c r="O12" s="45">
        <v>0</v>
      </c>
      <c r="P12" s="45">
        <v>0</v>
      </c>
      <c r="Q12" s="45">
        <v>13</v>
      </c>
      <c r="R12" s="45">
        <v>13</v>
      </c>
      <c r="S12" s="45">
        <v>13</v>
      </c>
      <c r="T12" s="45">
        <v>9</v>
      </c>
      <c r="U12" s="45">
        <v>13</v>
      </c>
      <c r="V12" s="45">
        <v>13</v>
      </c>
      <c r="W12" s="45">
        <v>9</v>
      </c>
      <c r="X12" s="45">
        <v>9</v>
      </c>
      <c r="Y12" s="45">
        <v>9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24.9</v>
      </c>
      <c r="AE13" s="45">
        <v>0</v>
      </c>
      <c r="AF13" s="45">
        <v>0</v>
      </c>
      <c r="AG13" s="46">
        <v>52.4</v>
      </c>
      <c r="AH13" s="47">
        <f t="shared" si="2"/>
        <v>54.5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50.6</v>
      </c>
      <c r="AI14" s="48">
        <f t="shared" si="3"/>
        <v>50.6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47.2</v>
      </c>
      <c r="C15" s="45">
        <v>47.2</v>
      </c>
      <c r="D15" s="45">
        <v>47.2</v>
      </c>
      <c r="E15" s="45">
        <v>47.2</v>
      </c>
      <c r="F15" s="45">
        <v>47.2</v>
      </c>
      <c r="G15" s="45">
        <v>47.2</v>
      </c>
      <c r="H15" s="45">
        <v>47.2</v>
      </c>
      <c r="I15" s="45">
        <v>47.2</v>
      </c>
      <c r="J15" s="45">
        <v>47.2</v>
      </c>
      <c r="K15" s="45">
        <v>47.2</v>
      </c>
      <c r="L15" s="45">
        <v>47.2</v>
      </c>
      <c r="M15" s="45">
        <v>47.2</v>
      </c>
      <c r="N15" s="45">
        <v>47</v>
      </c>
      <c r="O15" s="45">
        <v>47</v>
      </c>
      <c r="P15" s="45">
        <v>47</v>
      </c>
      <c r="Q15" s="45">
        <v>47</v>
      </c>
      <c r="R15" s="45">
        <v>47</v>
      </c>
      <c r="S15" s="45">
        <v>47</v>
      </c>
      <c r="T15" s="45">
        <v>47</v>
      </c>
      <c r="U15" s="45">
        <v>47</v>
      </c>
      <c r="V15" s="45">
        <v>47</v>
      </c>
      <c r="W15" s="45">
        <v>47</v>
      </c>
      <c r="X15" s="45">
        <v>47</v>
      </c>
      <c r="Y15" s="45">
        <v>47</v>
      </c>
      <c r="Z15" s="45">
        <v>47</v>
      </c>
      <c r="AA15" s="45">
        <v>47</v>
      </c>
      <c r="AB15" s="45">
        <v>47</v>
      </c>
      <c r="AC15" s="45">
        <v>47</v>
      </c>
      <c r="AD15" s="45">
        <v>47</v>
      </c>
      <c r="AE15" s="45">
        <v>47</v>
      </c>
      <c r="AF15" s="45">
        <v>47</v>
      </c>
      <c r="AG15" s="49">
        <v>45</v>
      </c>
      <c r="AH15" s="47">
        <f t="shared" si="2"/>
        <v>47.2</v>
      </c>
      <c r="AI15" s="48">
        <f t="shared" si="3"/>
        <v>47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35</v>
      </c>
      <c r="P16" s="45">
        <v>35</v>
      </c>
      <c r="Q16" s="45">
        <v>35</v>
      </c>
      <c r="R16" s="45">
        <v>35</v>
      </c>
      <c r="S16" s="45">
        <v>35</v>
      </c>
      <c r="T16" s="45">
        <v>35</v>
      </c>
      <c r="U16" s="45">
        <v>35</v>
      </c>
      <c r="V16" s="45">
        <v>35</v>
      </c>
      <c r="W16" s="45">
        <v>35</v>
      </c>
      <c r="X16" s="45">
        <v>35</v>
      </c>
      <c r="Y16" s="45">
        <v>35</v>
      </c>
      <c r="Z16" s="45">
        <v>35</v>
      </c>
      <c r="AA16" s="45">
        <v>35</v>
      </c>
      <c r="AB16" s="45">
        <v>35</v>
      </c>
      <c r="AC16" s="45">
        <v>35</v>
      </c>
      <c r="AD16" s="45">
        <v>35</v>
      </c>
      <c r="AE16" s="45">
        <v>35</v>
      </c>
      <c r="AF16" s="45">
        <v>35</v>
      </c>
      <c r="AG16" s="49">
        <v>44</v>
      </c>
      <c r="AH16" s="47">
        <f>MAX(B16:AG16)</f>
        <v>44</v>
      </c>
      <c r="AI16" s="48">
        <f>MIN(B16:AG16)</f>
        <v>35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5</v>
      </c>
      <c r="I20" s="45">
        <v>5</v>
      </c>
      <c r="J20" s="45">
        <v>15</v>
      </c>
      <c r="K20" s="45">
        <v>15</v>
      </c>
      <c r="L20" s="45">
        <v>15</v>
      </c>
      <c r="M20" s="45">
        <v>30</v>
      </c>
      <c r="N20" s="45">
        <v>15</v>
      </c>
      <c r="O20" s="45">
        <v>0</v>
      </c>
      <c r="P20" s="45">
        <v>0</v>
      </c>
      <c r="Q20" s="45">
        <v>10</v>
      </c>
      <c r="R20" s="45">
        <v>15</v>
      </c>
      <c r="S20" s="45">
        <v>15</v>
      </c>
      <c r="T20" s="45">
        <v>5</v>
      </c>
      <c r="U20" s="45">
        <v>10.6</v>
      </c>
      <c r="V20" s="45">
        <v>10.6</v>
      </c>
      <c r="W20" s="45">
        <v>5</v>
      </c>
      <c r="X20" s="45">
        <v>5</v>
      </c>
      <c r="Y20" s="45">
        <v>5</v>
      </c>
      <c r="Z20" s="45">
        <v>30</v>
      </c>
      <c r="AA20" s="45">
        <v>30</v>
      </c>
      <c r="AB20" s="45">
        <v>15</v>
      </c>
      <c r="AC20" s="45">
        <v>9.9</v>
      </c>
      <c r="AD20" s="45">
        <v>5.2</v>
      </c>
      <c r="AE20" s="45">
        <v>5.2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25</v>
      </c>
      <c r="O21" s="45">
        <v>25</v>
      </c>
      <c r="P21" s="45">
        <v>25</v>
      </c>
      <c r="Q21" s="45">
        <v>25</v>
      </c>
      <c r="R21" s="45">
        <v>25</v>
      </c>
      <c r="S21" s="45">
        <v>25</v>
      </c>
      <c r="T21" s="45">
        <v>25</v>
      </c>
      <c r="U21" s="45">
        <v>25</v>
      </c>
      <c r="V21" s="45">
        <v>25</v>
      </c>
      <c r="W21" s="45">
        <v>30.2</v>
      </c>
      <c r="X21" s="45">
        <v>30.2</v>
      </c>
      <c r="Y21" s="45">
        <v>30.2</v>
      </c>
      <c r="Z21" s="45">
        <v>30.2</v>
      </c>
      <c r="AA21" s="45">
        <v>30.2</v>
      </c>
      <c r="AB21" s="45">
        <v>30.2</v>
      </c>
      <c r="AC21" s="45">
        <v>30.2</v>
      </c>
      <c r="AD21" s="45">
        <v>31.1</v>
      </c>
      <c r="AE21" s="45">
        <v>31.1</v>
      </c>
      <c r="AF21" s="45">
        <v>31.1</v>
      </c>
      <c r="AG21" s="49">
        <v>24.2</v>
      </c>
      <c r="AH21" s="47">
        <f t="shared" si="2"/>
        <v>31.1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13</v>
      </c>
      <c r="K23" s="45">
        <v>13</v>
      </c>
      <c r="L23" s="45">
        <v>13</v>
      </c>
      <c r="M23" s="45">
        <v>19</v>
      </c>
      <c r="N23" s="45">
        <v>14</v>
      </c>
      <c r="O23" s="45">
        <v>0</v>
      </c>
      <c r="P23" s="45">
        <v>0</v>
      </c>
      <c r="Q23" s="45">
        <v>14</v>
      </c>
      <c r="R23" s="45">
        <v>14</v>
      </c>
      <c r="S23" s="45">
        <v>14</v>
      </c>
      <c r="T23" s="45">
        <v>4.5</v>
      </c>
      <c r="U23" s="45">
        <v>9</v>
      </c>
      <c r="V23" s="45">
        <v>9</v>
      </c>
      <c r="W23" s="45">
        <v>4.5</v>
      </c>
      <c r="X23" s="45">
        <v>4.5</v>
      </c>
      <c r="Y23" s="45">
        <v>4.5</v>
      </c>
      <c r="Z23" s="45">
        <v>27</v>
      </c>
      <c r="AA23" s="45">
        <v>27</v>
      </c>
      <c r="AB23" s="45">
        <v>13.5</v>
      </c>
      <c r="AC23" s="45">
        <v>9</v>
      </c>
      <c r="AD23" s="45">
        <v>4</v>
      </c>
      <c r="AE23" s="45">
        <v>4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24.3</v>
      </c>
      <c r="D24" s="45">
        <v>24.3</v>
      </c>
      <c r="E24" s="45">
        <v>24.3</v>
      </c>
      <c r="F24" s="45">
        <v>24.3</v>
      </c>
      <c r="G24" s="45">
        <v>24.3</v>
      </c>
      <c r="H24" s="45">
        <v>24.3</v>
      </c>
      <c r="I24" s="45">
        <v>24.3</v>
      </c>
      <c r="J24" s="45">
        <v>24.3</v>
      </c>
      <c r="K24" s="45">
        <v>24.3</v>
      </c>
      <c r="L24" s="45">
        <v>24.3</v>
      </c>
      <c r="M24" s="45">
        <v>24.3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24.5</v>
      </c>
      <c r="AI24" s="48">
        <f t="shared" si="3"/>
        <v>24.3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22</v>
      </c>
      <c r="G26" s="45">
        <v>22</v>
      </c>
      <c r="H26" s="45">
        <v>22</v>
      </c>
      <c r="I26" s="45">
        <v>22</v>
      </c>
      <c r="J26" s="45">
        <v>22</v>
      </c>
      <c r="K26" s="45">
        <v>22</v>
      </c>
      <c r="L26" s="45">
        <v>22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13</v>
      </c>
      <c r="K27" s="45">
        <v>13</v>
      </c>
      <c r="L27" s="45">
        <v>13</v>
      </c>
      <c r="M27" s="45">
        <v>25</v>
      </c>
      <c r="N27" s="45">
        <v>13</v>
      </c>
      <c r="O27" s="45">
        <v>0</v>
      </c>
      <c r="P27" s="45">
        <v>0</v>
      </c>
      <c r="Q27" s="45">
        <v>13</v>
      </c>
      <c r="R27" s="45">
        <v>13</v>
      </c>
      <c r="S27" s="45">
        <v>13</v>
      </c>
      <c r="T27" s="45">
        <v>4.5</v>
      </c>
      <c r="U27" s="45">
        <v>8.5</v>
      </c>
      <c r="V27" s="45">
        <v>8.5</v>
      </c>
      <c r="W27" s="45">
        <v>4.5</v>
      </c>
      <c r="X27" s="45">
        <v>4.5</v>
      </c>
      <c r="Y27" s="45">
        <v>4.5</v>
      </c>
      <c r="Z27" s="45">
        <v>25</v>
      </c>
      <c r="AA27" s="45">
        <v>25</v>
      </c>
      <c r="AB27" s="45">
        <v>25</v>
      </c>
      <c r="AC27" s="45">
        <v>8.5</v>
      </c>
      <c r="AD27" s="45">
        <v>5</v>
      </c>
      <c r="AE27" s="45">
        <v>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8</v>
      </c>
      <c r="K33" s="45">
        <v>8</v>
      </c>
      <c r="L33" s="45">
        <v>8</v>
      </c>
      <c r="M33" s="45">
        <v>8</v>
      </c>
      <c r="N33" s="45">
        <v>8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5</v>
      </c>
      <c r="Z33" s="45">
        <v>8</v>
      </c>
      <c r="AA33" s="45">
        <v>8</v>
      </c>
      <c r="AB33" s="45">
        <v>10</v>
      </c>
      <c r="AC33" s="45">
        <v>10</v>
      </c>
      <c r="AD33" s="45">
        <v>10</v>
      </c>
      <c r="AE33" s="45">
        <v>10</v>
      </c>
      <c r="AF33" s="45">
        <v>10</v>
      </c>
      <c r="AG33" s="49">
        <v>20</v>
      </c>
      <c r="AH33" s="47">
        <f t="shared" si="2"/>
        <v>10</v>
      </c>
      <c r="AI33" s="48">
        <f t="shared" si="3"/>
        <v>5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5</v>
      </c>
      <c r="V34" s="45">
        <v>5</v>
      </c>
      <c r="W34" s="45">
        <v>5</v>
      </c>
      <c r="X34" s="45">
        <v>5</v>
      </c>
      <c r="Y34" s="45">
        <v>5</v>
      </c>
      <c r="Z34" s="45">
        <v>5</v>
      </c>
      <c r="AA34" s="45">
        <v>5</v>
      </c>
      <c r="AB34" s="45">
        <v>5</v>
      </c>
      <c r="AC34" s="45">
        <v>5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15.6</v>
      </c>
      <c r="C35" s="45">
        <v>15.6</v>
      </c>
      <c r="D35" s="45">
        <v>15.6</v>
      </c>
      <c r="E35" s="45">
        <v>15.6</v>
      </c>
      <c r="F35" s="45">
        <v>15.6</v>
      </c>
      <c r="G35" s="45">
        <v>15.6</v>
      </c>
      <c r="H35" s="45">
        <v>15.6</v>
      </c>
      <c r="I35" s="45">
        <v>15.6</v>
      </c>
      <c r="J35" s="45">
        <v>15.6</v>
      </c>
      <c r="K35" s="45">
        <v>15.6</v>
      </c>
      <c r="L35" s="45">
        <v>15.6</v>
      </c>
      <c r="M35" s="45">
        <v>15.6</v>
      </c>
      <c r="N35" s="45">
        <v>15.6</v>
      </c>
      <c r="O35" s="45">
        <v>15.6</v>
      </c>
      <c r="P35" s="45">
        <v>15.6</v>
      </c>
      <c r="Q35" s="45">
        <v>15.6</v>
      </c>
      <c r="R35" s="45">
        <v>15.6</v>
      </c>
      <c r="S35" s="45">
        <v>15.6</v>
      </c>
      <c r="T35" s="45">
        <v>15.6</v>
      </c>
      <c r="U35" s="45">
        <v>15.6</v>
      </c>
      <c r="V35" s="45">
        <v>15.6</v>
      </c>
      <c r="W35" s="45">
        <v>15.6</v>
      </c>
      <c r="X35" s="45">
        <v>15.6</v>
      </c>
      <c r="Y35" s="45">
        <v>15.6</v>
      </c>
      <c r="Z35" s="45">
        <v>15.6</v>
      </c>
      <c r="AA35" s="45">
        <v>15.6</v>
      </c>
      <c r="AB35" s="45">
        <v>15.6</v>
      </c>
      <c r="AC35" s="45">
        <v>15.6</v>
      </c>
      <c r="AD35" s="45">
        <v>15.6</v>
      </c>
      <c r="AE35" s="45">
        <v>15.6</v>
      </c>
      <c r="AF35" s="45">
        <v>15.6</v>
      </c>
      <c r="AG35" s="49">
        <v>14.9</v>
      </c>
      <c r="AH35" s="47">
        <f t="shared" si="2"/>
        <v>15.6</v>
      </c>
      <c r="AI35" s="48">
        <f t="shared" si="3"/>
        <v>15.6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6</v>
      </c>
      <c r="K39" s="45">
        <v>6</v>
      </c>
      <c r="L39" s="45">
        <v>6</v>
      </c>
      <c r="M39" s="45">
        <v>12</v>
      </c>
      <c r="N39" s="45">
        <v>6</v>
      </c>
      <c r="O39" s="45">
        <v>0</v>
      </c>
      <c r="P39" s="45">
        <v>0</v>
      </c>
      <c r="Q39" s="45">
        <v>6</v>
      </c>
      <c r="R39" s="45">
        <v>6</v>
      </c>
      <c r="S39" s="45">
        <v>6</v>
      </c>
      <c r="T39" s="45">
        <v>6</v>
      </c>
      <c r="U39" s="45">
        <v>3</v>
      </c>
      <c r="V39" s="45">
        <v>4</v>
      </c>
      <c r="W39" s="45">
        <v>2</v>
      </c>
      <c r="X39" s="45">
        <v>2</v>
      </c>
      <c r="Y39" s="45">
        <v>2</v>
      </c>
      <c r="Z39" s="45">
        <v>2</v>
      </c>
      <c r="AA39" s="45">
        <v>2</v>
      </c>
      <c r="AB39" s="45">
        <v>6</v>
      </c>
      <c r="AC39" s="45">
        <v>4</v>
      </c>
      <c r="AD39" s="45">
        <v>2</v>
      </c>
      <c r="AE39" s="45">
        <v>2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3.5</v>
      </c>
      <c r="N41" s="45">
        <v>3.5</v>
      </c>
      <c r="O41" s="45">
        <v>3.5</v>
      </c>
      <c r="P41" s="45">
        <v>3.5</v>
      </c>
      <c r="Q41" s="45">
        <v>3.5</v>
      </c>
      <c r="R41" s="45">
        <v>3.5</v>
      </c>
      <c r="S41" s="45">
        <v>3.5</v>
      </c>
      <c r="T41" s="45">
        <v>3.5</v>
      </c>
      <c r="U41" s="45">
        <v>3.5</v>
      </c>
      <c r="V41" s="45">
        <v>3.5</v>
      </c>
      <c r="W41" s="45">
        <v>3.5</v>
      </c>
      <c r="X41" s="45">
        <v>3.5</v>
      </c>
      <c r="Y41" s="45">
        <v>3.5</v>
      </c>
      <c r="Z41" s="45">
        <v>3.5</v>
      </c>
      <c r="AA41" s="45">
        <v>3.5</v>
      </c>
      <c r="AB41" s="45">
        <v>3.5</v>
      </c>
      <c r="AC41" s="45">
        <v>3.5</v>
      </c>
      <c r="AD41" s="45">
        <v>3.5</v>
      </c>
      <c r="AE41" s="45">
        <v>3.5</v>
      </c>
      <c r="AF41" s="45">
        <v>3.5</v>
      </c>
      <c r="AG41" s="49">
        <v>12</v>
      </c>
      <c r="AH41" s="47">
        <f t="shared" si="2"/>
        <v>3.5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118</v>
      </c>
      <c r="C49" s="56">
        <v>118</v>
      </c>
      <c r="D49" s="56">
        <v>118</v>
      </c>
      <c r="E49" s="56">
        <v>118</v>
      </c>
      <c r="F49" s="56">
        <v>118</v>
      </c>
      <c r="G49" s="56">
        <v>118</v>
      </c>
      <c r="H49" s="56">
        <v>118</v>
      </c>
      <c r="I49" s="56">
        <v>118</v>
      </c>
      <c r="J49" s="56">
        <v>118</v>
      </c>
      <c r="K49" s="56">
        <v>118</v>
      </c>
      <c r="L49" s="56">
        <v>118</v>
      </c>
      <c r="M49" s="56">
        <v>118</v>
      </c>
      <c r="N49" s="56">
        <f>35+86.4</f>
        <v>121.4</v>
      </c>
      <c r="O49" s="56">
        <f t="shared" ref="O49:Y49" si="4">35.1+86.8</f>
        <v>121.9</v>
      </c>
      <c r="P49" s="56">
        <f t="shared" si="4"/>
        <v>121.9</v>
      </c>
      <c r="Q49" s="56">
        <f t="shared" si="4"/>
        <v>121.9</v>
      </c>
      <c r="R49" s="56">
        <f t="shared" si="4"/>
        <v>121.9</v>
      </c>
      <c r="S49" s="56">
        <f t="shared" si="4"/>
        <v>121.9</v>
      </c>
      <c r="T49" s="56">
        <f t="shared" si="4"/>
        <v>121.9</v>
      </c>
      <c r="U49" s="56">
        <f t="shared" si="4"/>
        <v>121.9</v>
      </c>
      <c r="V49" s="56">
        <f t="shared" si="4"/>
        <v>121.9</v>
      </c>
      <c r="W49" s="56">
        <f t="shared" si="4"/>
        <v>121.9</v>
      </c>
      <c r="X49" s="56">
        <f t="shared" si="4"/>
        <v>121.9</v>
      </c>
      <c r="Y49" s="56">
        <f t="shared" si="4"/>
        <v>121.9</v>
      </c>
      <c r="Z49" s="56">
        <v>117</v>
      </c>
      <c r="AA49" s="56">
        <v>117</v>
      </c>
      <c r="AB49" s="56">
        <f>85.1+34.3</f>
        <v>119.39999999999999</v>
      </c>
      <c r="AC49" s="56">
        <f>71.6+30.5</f>
        <v>102.1</v>
      </c>
      <c r="AD49" s="56">
        <f>76.9+32.1</f>
        <v>109</v>
      </c>
      <c r="AE49" s="56">
        <f>78.1+32.3</f>
        <v>110.39999999999999</v>
      </c>
      <c r="AF49" s="56">
        <f>79.8+35</f>
        <v>114.8</v>
      </c>
      <c r="AG49" s="54">
        <v>240</v>
      </c>
      <c r="AH49" s="47">
        <f t="shared" si="2"/>
        <v>121.9</v>
      </c>
      <c r="AI49" s="48">
        <f t="shared" si="3"/>
        <v>102.1</v>
      </c>
      <c r="AK49" s="50"/>
    </row>
    <row r="50" spans="1:41" ht="15.75" thickBot="1" x14ac:dyDescent="0.3">
      <c r="A50" s="59" t="s">
        <v>58</v>
      </c>
      <c r="B50" s="60">
        <f t="shared" ref="B50:AD50" si="5">SUM(B11:B48)</f>
        <v>1116.0999999999999</v>
      </c>
      <c r="C50" s="60">
        <f t="shared" si="5"/>
        <v>1090.0999999999999</v>
      </c>
      <c r="D50" s="60">
        <f t="shared" si="5"/>
        <v>1090.0999999999999</v>
      </c>
      <c r="E50" s="60">
        <f t="shared" si="5"/>
        <v>1090.0999999999999</v>
      </c>
      <c r="F50" s="60">
        <f t="shared" si="5"/>
        <v>1090.0999999999999</v>
      </c>
      <c r="G50" s="60">
        <f t="shared" si="5"/>
        <v>1090.0999999999999</v>
      </c>
      <c r="H50" s="60">
        <f t="shared" si="5"/>
        <v>1090.0999999999999</v>
      </c>
      <c r="I50" s="60">
        <f t="shared" si="5"/>
        <v>1090.0999999999999</v>
      </c>
      <c r="J50" s="60">
        <f t="shared" si="5"/>
        <v>1147.0999999999999</v>
      </c>
      <c r="K50" s="60">
        <f>SUM(K11:K48)</f>
        <v>1152.0999999999999</v>
      </c>
      <c r="L50" s="60">
        <f t="shared" si="5"/>
        <v>1152.0999999999999</v>
      </c>
      <c r="M50" s="60">
        <f t="shared" si="5"/>
        <v>1217.0999999999999</v>
      </c>
      <c r="N50" s="60">
        <f t="shared" si="5"/>
        <v>1184.0999999999999</v>
      </c>
      <c r="O50" s="60">
        <f t="shared" si="5"/>
        <v>1111.0999999999999</v>
      </c>
      <c r="P50" s="60">
        <f t="shared" si="5"/>
        <v>1111.0999999999999</v>
      </c>
      <c r="Q50" s="60">
        <f t="shared" si="5"/>
        <v>1167.0999999999999</v>
      </c>
      <c r="R50" s="60">
        <f t="shared" si="5"/>
        <v>1172.0999999999999</v>
      </c>
      <c r="S50" s="60">
        <f t="shared" si="5"/>
        <v>1172.0999999999999</v>
      </c>
      <c r="T50" s="60">
        <f t="shared" si="5"/>
        <v>1140.0999999999999</v>
      </c>
      <c r="U50" s="60">
        <f t="shared" si="5"/>
        <v>1156.2</v>
      </c>
      <c r="V50" s="60">
        <f t="shared" si="5"/>
        <v>1157.2</v>
      </c>
      <c r="W50" s="60">
        <f t="shared" si="5"/>
        <v>1142.3000000000002</v>
      </c>
      <c r="X50" s="60">
        <f t="shared" si="5"/>
        <v>1142.3000000000002</v>
      </c>
      <c r="Y50" s="60">
        <f t="shared" si="5"/>
        <v>1142.3000000000002</v>
      </c>
      <c r="Z50" s="60">
        <f t="shared" si="5"/>
        <v>1217.3000000000002</v>
      </c>
      <c r="AA50" s="60">
        <f t="shared" si="5"/>
        <v>1217.3000000000002</v>
      </c>
      <c r="AB50" s="60">
        <f t="shared" si="5"/>
        <v>1195</v>
      </c>
      <c r="AC50" s="60">
        <f t="shared" si="5"/>
        <v>1166.9000000000001</v>
      </c>
      <c r="AD50" s="60">
        <f t="shared" si="5"/>
        <v>1123</v>
      </c>
      <c r="AE50" s="60">
        <f>SUM(AE11:AE48)</f>
        <v>1085.0999999999999</v>
      </c>
      <c r="AF50" s="60">
        <f>SUM(AF11:AF48)</f>
        <v>1068.9000000000001</v>
      </c>
      <c r="AG50" s="61">
        <f>SUM(AG13:AG48)</f>
        <v>922.14</v>
      </c>
      <c r="AH50" s="47">
        <f t="shared" si="2"/>
        <v>1217.3000000000002</v>
      </c>
      <c r="AI50" s="48">
        <f t="shared" si="3"/>
        <v>1068.9000000000001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55</v>
      </c>
      <c r="AF52" s="64">
        <v>55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528</v>
      </c>
      <c r="C54" s="60">
        <f t="shared" si="6"/>
        <v>528</v>
      </c>
      <c r="D54" s="60">
        <f t="shared" si="6"/>
        <v>528</v>
      </c>
      <c r="E54" s="60">
        <f t="shared" si="6"/>
        <v>528</v>
      </c>
      <c r="F54" s="60">
        <f t="shared" si="6"/>
        <v>528</v>
      </c>
      <c r="G54" s="60">
        <f t="shared" si="6"/>
        <v>528</v>
      </c>
      <c r="H54" s="60">
        <f t="shared" si="6"/>
        <v>528</v>
      </c>
      <c r="I54" s="60">
        <f t="shared" si="6"/>
        <v>528</v>
      </c>
      <c r="J54" s="60">
        <f t="shared" si="6"/>
        <v>528</v>
      </c>
      <c r="K54" s="60">
        <f>SUM(K51:K53)</f>
        <v>528</v>
      </c>
      <c r="L54" s="60">
        <f t="shared" si="6"/>
        <v>528</v>
      </c>
      <c r="M54" s="60">
        <f t="shared" si="6"/>
        <v>538</v>
      </c>
      <c r="N54" s="60">
        <f t="shared" si="6"/>
        <v>538.5</v>
      </c>
      <c r="O54" s="60">
        <f t="shared" si="6"/>
        <v>538.5</v>
      </c>
      <c r="P54" s="60">
        <f t="shared" si="6"/>
        <v>538.5</v>
      </c>
      <c r="Q54" s="60">
        <f t="shared" si="6"/>
        <v>538.5</v>
      </c>
      <c r="R54" s="60">
        <f t="shared" si="6"/>
        <v>538.5</v>
      </c>
      <c r="S54" s="60">
        <f t="shared" si="6"/>
        <v>538.5</v>
      </c>
      <c r="T54" s="60">
        <f t="shared" si="6"/>
        <v>538.5</v>
      </c>
      <c r="U54" s="60">
        <f t="shared" si="6"/>
        <v>538.5</v>
      </c>
      <c r="V54" s="60">
        <f t="shared" si="6"/>
        <v>538.5</v>
      </c>
      <c r="W54" s="60">
        <f t="shared" si="6"/>
        <v>538.5</v>
      </c>
      <c r="X54" s="60">
        <f t="shared" si="6"/>
        <v>538.5</v>
      </c>
      <c r="Y54" s="60">
        <f t="shared" si="6"/>
        <v>538.5</v>
      </c>
      <c r="Z54" s="60">
        <f t="shared" si="6"/>
        <v>538.5</v>
      </c>
      <c r="AA54" s="60">
        <f t="shared" si="6"/>
        <v>538.5</v>
      </c>
      <c r="AB54" s="60">
        <f t="shared" si="6"/>
        <v>538.5</v>
      </c>
      <c r="AC54" s="60">
        <f t="shared" si="6"/>
        <v>538.5</v>
      </c>
      <c r="AD54" s="60">
        <f t="shared" si="6"/>
        <v>538.5</v>
      </c>
      <c r="AE54" s="60">
        <f t="shared" si="6"/>
        <v>533.5</v>
      </c>
      <c r="AF54" s="60">
        <f t="shared" si="6"/>
        <v>533.5</v>
      </c>
      <c r="AG54" s="61">
        <f t="shared" si="6"/>
        <v>538.1</v>
      </c>
      <c r="AH54" s="47">
        <f t="shared" si="2"/>
        <v>538.5</v>
      </c>
      <c r="AI54" s="48">
        <f t="shared" si="3"/>
        <v>528</v>
      </c>
      <c r="AK54" s="50"/>
    </row>
    <row r="55" spans="1:41" x14ac:dyDescent="0.25">
      <c r="A55" s="44" t="s">
        <v>63</v>
      </c>
      <c r="B55" s="45">
        <v>142</v>
      </c>
      <c r="C55" s="45">
        <v>142</v>
      </c>
      <c r="D55" s="45">
        <v>142</v>
      </c>
      <c r="E55" s="45">
        <v>142</v>
      </c>
      <c r="F55" s="45">
        <v>142</v>
      </c>
      <c r="G55" s="45">
        <v>142</v>
      </c>
      <c r="H55" s="45">
        <v>142</v>
      </c>
      <c r="I55" s="45">
        <v>142</v>
      </c>
      <c r="J55" s="45">
        <v>142</v>
      </c>
      <c r="K55" s="45">
        <v>142</v>
      </c>
      <c r="L55" s="45">
        <v>142</v>
      </c>
      <c r="M55" s="45">
        <v>143.69999999999999</v>
      </c>
      <c r="N55" s="45">
        <v>143.69999999999999</v>
      </c>
      <c r="O55" s="45">
        <v>143.69999999999999</v>
      </c>
      <c r="P55" s="45">
        <v>143.69999999999999</v>
      </c>
      <c r="Q55" s="45">
        <v>143.69999999999999</v>
      </c>
      <c r="R55" s="45">
        <v>143.69999999999999</v>
      </c>
      <c r="S55" s="45">
        <v>143.69999999999999</v>
      </c>
      <c r="T55" s="45">
        <v>143.69999999999999</v>
      </c>
      <c r="U55" s="45">
        <v>143.69999999999999</v>
      </c>
      <c r="V55" s="45">
        <v>143.69999999999999</v>
      </c>
      <c r="W55" s="45">
        <v>143.69999999999999</v>
      </c>
      <c r="X55" s="45">
        <v>143.69999999999999</v>
      </c>
      <c r="Y55" s="45">
        <v>143.69999999999999</v>
      </c>
      <c r="Z55" s="45">
        <v>143.69999999999999</v>
      </c>
      <c r="AA55" s="45">
        <v>143.69999999999999</v>
      </c>
      <c r="AB55" s="45">
        <v>143.69999999999999</v>
      </c>
      <c r="AC55" s="45">
        <v>144.69999999999999</v>
      </c>
      <c r="AD55" s="45">
        <v>144.69999999999999</v>
      </c>
      <c r="AE55" s="45">
        <v>144.69999999999999</v>
      </c>
      <c r="AF55" s="45">
        <v>144.69999999999999</v>
      </c>
      <c r="AG55" s="51">
        <v>144</v>
      </c>
      <c r="AH55" s="47">
        <f t="shared" si="2"/>
        <v>144.69999999999999</v>
      </c>
      <c r="AI55" s="48">
        <f t="shared" si="3"/>
        <v>142</v>
      </c>
      <c r="AK55" s="50"/>
    </row>
    <row r="56" spans="1:41" x14ac:dyDescent="0.25">
      <c r="A56" s="53" t="s">
        <v>64</v>
      </c>
      <c r="B56" s="64">
        <v>65</v>
      </c>
      <c r="C56" s="64">
        <v>51</v>
      </c>
      <c r="D56" s="64">
        <v>51</v>
      </c>
      <c r="E56" s="64">
        <v>51</v>
      </c>
      <c r="F56" s="64">
        <v>51</v>
      </c>
      <c r="G56" s="64">
        <v>51</v>
      </c>
      <c r="H56" s="64">
        <v>51</v>
      </c>
      <c r="I56" s="64">
        <v>70</v>
      </c>
      <c r="J56" s="64">
        <v>70</v>
      </c>
      <c r="K56" s="64">
        <v>70</v>
      </c>
      <c r="L56" s="64">
        <v>70</v>
      </c>
      <c r="M56" s="64">
        <v>69.400000000000006</v>
      </c>
      <c r="N56" s="64">
        <v>69.400000000000006</v>
      </c>
      <c r="O56" s="64">
        <v>66</v>
      </c>
      <c r="P56" s="64">
        <v>66</v>
      </c>
      <c r="Q56" s="64">
        <v>70.3</v>
      </c>
      <c r="R56" s="64">
        <v>70.5</v>
      </c>
      <c r="S56" s="64">
        <v>70.5</v>
      </c>
      <c r="T56" s="64">
        <v>50.2</v>
      </c>
      <c r="U56" s="64">
        <v>50.2</v>
      </c>
      <c r="V56" s="64">
        <v>69.2</v>
      </c>
      <c r="W56" s="64">
        <v>69.2</v>
      </c>
      <c r="X56" s="64">
        <v>69.2</v>
      </c>
      <c r="Y56" s="64">
        <v>69.2</v>
      </c>
      <c r="Z56" s="64">
        <v>69.2</v>
      </c>
      <c r="AA56" s="45">
        <v>69.2</v>
      </c>
      <c r="AB56" s="45">
        <v>69.2</v>
      </c>
      <c r="AC56" s="45">
        <v>69.2</v>
      </c>
      <c r="AD56" s="45">
        <v>69.2</v>
      </c>
      <c r="AE56" s="45">
        <v>69.2</v>
      </c>
      <c r="AF56" s="45">
        <v>69.5</v>
      </c>
      <c r="AG56" s="54">
        <v>70</v>
      </c>
      <c r="AH56" s="47">
        <f t="shared" si="2"/>
        <v>70.5</v>
      </c>
      <c r="AI56" s="48">
        <f t="shared" si="3"/>
        <v>50.2</v>
      </c>
      <c r="AK56" s="50"/>
    </row>
    <row r="57" spans="1:41" x14ac:dyDescent="0.25">
      <c r="A57" s="53" t="s">
        <v>65</v>
      </c>
      <c r="B57" s="64">
        <v>51</v>
      </c>
      <c r="C57" s="64">
        <v>56</v>
      </c>
      <c r="D57" s="64">
        <v>56</v>
      </c>
      <c r="E57" s="64">
        <v>56</v>
      </c>
      <c r="F57" s="64">
        <v>56</v>
      </c>
      <c r="G57" s="64">
        <v>56</v>
      </c>
      <c r="H57" s="64">
        <v>56</v>
      </c>
      <c r="I57" s="64">
        <v>65.5</v>
      </c>
      <c r="J57" s="64">
        <v>65.5</v>
      </c>
      <c r="K57" s="64">
        <v>65.5</v>
      </c>
      <c r="L57" s="64">
        <v>65.5</v>
      </c>
      <c r="M57" s="64">
        <v>65.3</v>
      </c>
      <c r="N57" s="64">
        <v>65.3</v>
      </c>
      <c r="O57" s="64">
        <v>65.3</v>
      </c>
      <c r="P57" s="64">
        <v>65.3</v>
      </c>
      <c r="Q57" s="64">
        <v>65.3</v>
      </c>
      <c r="R57" s="64">
        <v>65.2</v>
      </c>
      <c r="S57" s="64">
        <v>65.2</v>
      </c>
      <c r="T57" s="64">
        <v>50.2</v>
      </c>
      <c r="U57" s="64">
        <v>50.2</v>
      </c>
      <c r="V57" s="64">
        <v>45.5</v>
      </c>
      <c r="W57" s="64">
        <v>53.1</v>
      </c>
      <c r="X57" s="64">
        <v>53.1</v>
      </c>
      <c r="Y57" s="64">
        <v>53.1</v>
      </c>
      <c r="Z57" s="64">
        <v>66</v>
      </c>
      <c r="AA57" s="45">
        <v>65</v>
      </c>
      <c r="AB57" s="45">
        <v>65</v>
      </c>
      <c r="AC57" s="45">
        <v>65</v>
      </c>
      <c r="AD57" s="45">
        <v>65</v>
      </c>
      <c r="AE57" s="45">
        <v>65</v>
      </c>
      <c r="AF57" s="45">
        <v>65</v>
      </c>
      <c r="AG57" s="54">
        <v>69</v>
      </c>
      <c r="AH57" s="47">
        <f t="shared" si="2"/>
        <v>66</v>
      </c>
      <c r="AI57" s="48">
        <f t="shared" si="3"/>
        <v>45.5</v>
      </c>
      <c r="AK57" s="50"/>
    </row>
    <row r="58" spans="1:41" x14ac:dyDescent="0.25">
      <c r="A58" s="53" t="s">
        <v>66</v>
      </c>
      <c r="B58" s="64">
        <v>60</v>
      </c>
      <c r="C58" s="64">
        <v>61</v>
      </c>
      <c r="D58" s="64">
        <v>61</v>
      </c>
      <c r="E58" s="64">
        <v>61</v>
      </c>
      <c r="F58" s="64">
        <v>61</v>
      </c>
      <c r="G58" s="64">
        <v>61</v>
      </c>
      <c r="H58" s="64">
        <v>61</v>
      </c>
      <c r="I58" s="64">
        <v>61</v>
      </c>
      <c r="J58" s="64">
        <v>61</v>
      </c>
      <c r="K58" s="64">
        <v>61</v>
      </c>
      <c r="L58" s="64">
        <v>61</v>
      </c>
      <c r="M58" s="64">
        <v>50.6</v>
      </c>
      <c r="N58" s="64">
        <v>50.6</v>
      </c>
      <c r="O58" s="64">
        <v>50.6</v>
      </c>
      <c r="P58" s="64">
        <v>50.6</v>
      </c>
      <c r="Q58" s="64">
        <v>50.6</v>
      </c>
      <c r="R58" s="64">
        <v>60.4</v>
      </c>
      <c r="S58" s="64">
        <v>60.4</v>
      </c>
      <c r="T58" s="64">
        <v>51</v>
      </c>
      <c r="U58" s="64">
        <v>51</v>
      </c>
      <c r="V58" s="64">
        <v>60.9</v>
      </c>
      <c r="W58" s="64">
        <v>45.9</v>
      </c>
      <c r="X58" s="64">
        <v>45.9</v>
      </c>
      <c r="Y58" s="64">
        <v>45.9</v>
      </c>
      <c r="Z58" s="64">
        <v>60</v>
      </c>
      <c r="AA58" s="45">
        <v>60</v>
      </c>
      <c r="AB58" s="45">
        <v>60</v>
      </c>
      <c r="AC58" s="45">
        <v>60</v>
      </c>
      <c r="AD58" s="45">
        <v>58.2</v>
      </c>
      <c r="AE58" s="45">
        <v>58.2</v>
      </c>
      <c r="AF58" s="45">
        <v>60.4</v>
      </c>
      <c r="AG58" s="54">
        <v>60</v>
      </c>
      <c r="AH58" s="47">
        <f t="shared" si="2"/>
        <v>61</v>
      </c>
      <c r="AI58" s="48">
        <f t="shared" si="3"/>
        <v>45.9</v>
      </c>
      <c r="AK58" s="50"/>
    </row>
    <row r="59" spans="1:41" x14ac:dyDescent="0.25">
      <c r="A59" s="53" t="s">
        <v>67</v>
      </c>
      <c r="B59" s="64">
        <v>28.6</v>
      </c>
      <c r="C59" s="64">
        <v>28.6</v>
      </c>
      <c r="D59" s="64">
        <v>28.6</v>
      </c>
      <c r="E59" s="64">
        <v>28.6</v>
      </c>
      <c r="F59" s="64">
        <v>28.6</v>
      </c>
      <c r="G59" s="64">
        <v>28.6</v>
      </c>
      <c r="H59" s="64">
        <v>28.6</v>
      </c>
      <c r="I59" s="64">
        <v>28.6</v>
      </c>
      <c r="J59" s="64">
        <v>28.6</v>
      </c>
      <c r="K59" s="64">
        <v>28.6</v>
      </c>
      <c r="L59" s="64">
        <v>28.6</v>
      </c>
      <c r="M59" s="64">
        <v>0</v>
      </c>
      <c r="N59" s="64">
        <v>0</v>
      </c>
      <c r="O59" s="64">
        <v>0</v>
      </c>
      <c r="P59" s="64">
        <v>0</v>
      </c>
      <c r="Q59" s="64">
        <v>0</v>
      </c>
      <c r="R59" s="64">
        <v>28.5</v>
      </c>
      <c r="S59" s="64">
        <v>28.5</v>
      </c>
      <c r="T59" s="64">
        <v>28.5</v>
      </c>
      <c r="U59" s="64">
        <v>28.5</v>
      </c>
      <c r="V59" s="64">
        <v>28.5</v>
      </c>
      <c r="W59" s="64">
        <v>28.5</v>
      </c>
      <c r="X59" s="64">
        <v>28.5</v>
      </c>
      <c r="Y59" s="64">
        <v>28.5</v>
      </c>
      <c r="Z59" s="64">
        <v>28.5</v>
      </c>
      <c r="AA59" s="45">
        <v>28.5</v>
      </c>
      <c r="AB59" s="45">
        <v>28.5</v>
      </c>
      <c r="AC59" s="45">
        <v>28.5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28.6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6</v>
      </c>
      <c r="N60" s="64">
        <v>14.7</v>
      </c>
      <c r="O60" s="64">
        <v>16</v>
      </c>
      <c r="P60" s="64">
        <v>16</v>
      </c>
      <c r="Q60" s="64">
        <v>16</v>
      </c>
      <c r="R60" s="64">
        <v>14.5</v>
      </c>
      <c r="S60" s="64">
        <v>14.5</v>
      </c>
      <c r="T60" s="64">
        <v>11.1</v>
      </c>
      <c r="U60" s="64">
        <v>11.1</v>
      </c>
      <c r="V60" s="64">
        <v>0.3</v>
      </c>
      <c r="W60" s="64">
        <v>0.3</v>
      </c>
      <c r="X60" s="64">
        <v>0.2</v>
      </c>
      <c r="Y60" s="64">
        <v>0.2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5</v>
      </c>
      <c r="N62" s="64">
        <v>5</v>
      </c>
      <c r="O62" s="64">
        <v>5</v>
      </c>
      <c r="P62" s="64">
        <v>5</v>
      </c>
      <c r="Q62" s="64">
        <v>0</v>
      </c>
      <c r="R62" s="64">
        <v>0</v>
      </c>
      <c r="S62" s="64">
        <v>0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10.8</v>
      </c>
      <c r="C63" s="64">
        <v>10.8</v>
      </c>
      <c r="D63" s="64">
        <v>10.8</v>
      </c>
      <c r="E63" s="64">
        <v>10.8</v>
      </c>
      <c r="F63" s="64">
        <v>10.8</v>
      </c>
      <c r="G63" s="64">
        <v>10.8</v>
      </c>
      <c r="H63" s="64">
        <v>10.8</v>
      </c>
      <c r="I63" s="64">
        <v>10.8</v>
      </c>
      <c r="J63" s="64">
        <v>10.8</v>
      </c>
      <c r="K63" s="64">
        <v>10.8</v>
      </c>
      <c r="L63" s="64">
        <v>10.8</v>
      </c>
      <c r="M63" s="64">
        <v>10.3</v>
      </c>
      <c r="N63" s="64">
        <v>10.3</v>
      </c>
      <c r="O63" s="64">
        <v>10.3</v>
      </c>
      <c r="P63" s="64">
        <v>10.3</v>
      </c>
      <c r="Q63" s="64">
        <v>10.3</v>
      </c>
      <c r="R63" s="64">
        <v>10.3</v>
      </c>
      <c r="S63" s="64">
        <v>10.3</v>
      </c>
      <c r="T63" s="64">
        <v>10.3</v>
      </c>
      <c r="U63" s="64">
        <v>10.3</v>
      </c>
      <c r="V63" s="64">
        <v>10.3</v>
      </c>
      <c r="W63" s="64">
        <v>13.1</v>
      </c>
      <c r="X63" s="64">
        <v>13.1</v>
      </c>
      <c r="Y63" s="64">
        <v>13.1</v>
      </c>
      <c r="Z63" s="64">
        <v>13.1</v>
      </c>
      <c r="AA63" s="64">
        <v>13.1</v>
      </c>
      <c r="AB63" s="64">
        <v>13.1</v>
      </c>
      <c r="AC63" s="64">
        <v>13.1</v>
      </c>
      <c r="AD63" s="64">
        <v>13.1</v>
      </c>
      <c r="AE63" s="64">
        <v>13.1</v>
      </c>
      <c r="AF63" s="64">
        <v>13.1</v>
      </c>
      <c r="AG63" s="54">
        <v>14.1</v>
      </c>
      <c r="AH63" s="47">
        <f t="shared" si="2"/>
        <v>13.1</v>
      </c>
      <c r="AI63" s="48">
        <f t="shared" si="3"/>
        <v>10.3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</v>
      </c>
      <c r="C64" s="64">
        <v>6</v>
      </c>
      <c r="D64" s="64">
        <v>6</v>
      </c>
      <c r="E64" s="64">
        <v>6</v>
      </c>
      <c r="F64" s="64">
        <v>6</v>
      </c>
      <c r="G64" s="64">
        <v>6</v>
      </c>
      <c r="H64" s="64">
        <v>6</v>
      </c>
      <c r="I64" s="64">
        <v>6</v>
      </c>
      <c r="J64" s="64">
        <v>6</v>
      </c>
      <c r="K64" s="64">
        <v>6</v>
      </c>
      <c r="L64" s="64">
        <v>6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13.7</v>
      </c>
      <c r="AF64" s="64">
        <v>13.7</v>
      </c>
      <c r="AG64" s="54">
        <v>14</v>
      </c>
      <c r="AH64" s="47">
        <f t="shared" si="2"/>
        <v>14</v>
      </c>
      <c r="AI64" s="48">
        <f t="shared" si="3"/>
        <v>6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396.14000000000004</v>
      </c>
      <c r="C68" s="60">
        <f t="shared" si="7"/>
        <v>388.14000000000004</v>
      </c>
      <c r="D68" s="60">
        <f t="shared" si="7"/>
        <v>388.14000000000004</v>
      </c>
      <c r="E68" s="60">
        <f t="shared" si="7"/>
        <v>388.14000000000004</v>
      </c>
      <c r="F68" s="60">
        <f t="shared" si="7"/>
        <v>388.14000000000004</v>
      </c>
      <c r="G68" s="60">
        <f t="shared" si="7"/>
        <v>388.14000000000004</v>
      </c>
      <c r="H68" s="60">
        <f t="shared" si="7"/>
        <v>388.14000000000004</v>
      </c>
      <c r="I68" s="60">
        <f t="shared" si="7"/>
        <v>416.64000000000004</v>
      </c>
      <c r="J68" s="60">
        <f t="shared" si="7"/>
        <v>416.64000000000004</v>
      </c>
      <c r="K68" s="60">
        <f t="shared" si="7"/>
        <v>416.64000000000004</v>
      </c>
      <c r="L68" s="60">
        <f t="shared" si="7"/>
        <v>416.64000000000004</v>
      </c>
      <c r="M68" s="60">
        <f t="shared" si="7"/>
        <v>397.04</v>
      </c>
      <c r="N68" s="60">
        <f t="shared" si="7"/>
        <v>405.74</v>
      </c>
      <c r="O68" s="60">
        <f t="shared" si="7"/>
        <v>403.84000000000003</v>
      </c>
      <c r="P68" s="60">
        <f t="shared" si="7"/>
        <v>403.84000000000003</v>
      </c>
      <c r="Q68" s="60">
        <f t="shared" si="7"/>
        <v>403.14000000000004</v>
      </c>
      <c r="R68" s="60">
        <f t="shared" si="7"/>
        <v>440.03999999999996</v>
      </c>
      <c r="S68" s="60">
        <f t="shared" si="7"/>
        <v>440.03999999999996</v>
      </c>
      <c r="T68" s="60">
        <f t="shared" si="7"/>
        <v>396.94</v>
      </c>
      <c r="U68" s="60">
        <f t="shared" si="7"/>
        <v>396.94</v>
      </c>
      <c r="V68" s="60">
        <f t="shared" si="7"/>
        <v>410.34</v>
      </c>
      <c r="W68" s="60">
        <f t="shared" si="7"/>
        <v>405.74</v>
      </c>
      <c r="X68" s="60">
        <f t="shared" si="7"/>
        <v>405.64</v>
      </c>
      <c r="Y68" s="60">
        <f t="shared" si="7"/>
        <v>405.64</v>
      </c>
      <c r="Z68" s="60">
        <f t="shared" si="7"/>
        <v>432.44</v>
      </c>
      <c r="AA68" s="60">
        <f t="shared" si="7"/>
        <v>431.44</v>
      </c>
      <c r="AB68" s="60">
        <f t="shared" si="7"/>
        <v>431.44</v>
      </c>
      <c r="AC68" s="60">
        <f t="shared" si="7"/>
        <v>432.44</v>
      </c>
      <c r="AD68" s="60">
        <f t="shared" si="7"/>
        <v>402.14</v>
      </c>
      <c r="AE68" s="60">
        <f t="shared" si="7"/>
        <v>401.84</v>
      </c>
      <c r="AF68" s="60">
        <f t="shared" si="7"/>
        <v>404.34</v>
      </c>
      <c r="AG68" s="61">
        <f t="shared" si="7"/>
        <v>489.91</v>
      </c>
      <c r="AH68" s="47">
        <f t="shared" si="2"/>
        <v>440.03999999999996</v>
      </c>
      <c r="AI68" s="48">
        <f t="shared" si="3"/>
        <v>388.14000000000004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10</v>
      </c>
      <c r="P69" s="45">
        <v>10</v>
      </c>
      <c r="Q69" s="45">
        <v>14</v>
      </c>
      <c r="R69" s="45">
        <v>14</v>
      </c>
      <c r="S69" s="45">
        <v>14</v>
      </c>
      <c r="T69" s="45">
        <v>14</v>
      </c>
      <c r="U69" s="45">
        <v>0</v>
      </c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14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6.3</v>
      </c>
      <c r="P70" s="64">
        <v>6.3</v>
      </c>
      <c r="Q70" s="64">
        <v>4.0999999999999996</v>
      </c>
      <c r="R70" s="64">
        <v>4.0999999999999996</v>
      </c>
      <c r="S70" s="64">
        <v>4.8</v>
      </c>
      <c r="T70" s="64">
        <v>4.8</v>
      </c>
      <c r="U70" s="64">
        <v>0</v>
      </c>
      <c r="V70" s="64"/>
      <c r="W70" s="64">
        <v>4.8</v>
      </c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6.3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2.2999999999999998</v>
      </c>
      <c r="P71" s="66">
        <v>2.2999999999999998</v>
      </c>
      <c r="Q71" s="66">
        <v>1.5</v>
      </c>
      <c r="R71" s="66">
        <v>1.5</v>
      </c>
      <c r="S71" s="66">
        <v>1.8</v>
      </c>
      <c r="T71" s="66">
        <v>1.8</v>
      </c>
      <c r="U71" s="66">
        <v>0</v>
      </c>
      <c r="V71" s="66"/>
      <c r="W71" s="66">
        <v>1.7</v>
      </c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2.2999999999999998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18.600000000000001</v>
      </c>
      <c r="P72" s="60">
        <f t="shared" si="8"/>
        <v>18.600000000000001</v>
      </c>
      <c r="Q72" s="60">
        <f t="shared" si="8"/>
        <v>19.600000000000001</v>
      </c>
      <c r="R72" s="60">
        <f t="shared" si="8"/>
        <v>19.600000000000001</v>
      </c>
      <c r="S72" s="60">
        <f t="shared" si="8"/>
        <v>20.6</v>
      </c>
      <c r="T72" s="60">
        <f t="shared" si="8"/>
        <v>20.6</v>
      </c>
      <c r="U72" s="60">
        <f t="shared" si="8"/>
        <v>0</v>
      </c>
      <c r="V72" s="60">
        <f t="shared" si="8"/>
        <v>0</v>
      </c>
      <c r="W72" s="60">
        <f t="shared" si="8"/>
        <v>6.5</v>
      </c>
      <c r="X72" s="60">
        <f t="shared" si="8"/>
        <v>0</v>
      </c>
      <c r="Y72" s="60">
        <f t="shared" si="8"/>
        <v>0</v>
      </c>
      <c r="Z72" s="60">
        <f t="shared" si="8"/>
        <v>0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20.6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0</v>
      </c>
      <c r="C73" s="45">
        <v>4</v>
      </c>
      <c r="D73" s="45">
        <v>-2.4</v>
      </c>
      <c r="E73" s="45">
        <v>-6.1</v>
      </c>
      <c r="F73" s="45">
        <v>-8.1999999999999993</v>
      </c>
      <c r="G73" s="45">
        <v>-8.1</v>
      </c>
      <c r="H73" s="45">
        <v>-7.1</v>
      </c>
      <c r="I73" s="45">
        <v>-13</v>
      </c>
      <c r="J73" s="45">
        <v>-21</v>
      </c>
      <c r="K73" s="45">
        <v>-27</v>
      </c>
      <c r="L73" s="45">
        <v>-29</v>
      </c>
      <c r="M73" s="45">
        <v>16.899999999999999</v>
      </c>
      <c r="N73" s="45">
        <v>14.7</v>
      </c>
      <c r="O73" s="45">
        <v>35</v>
      </c>
      <c r="P73" s="45">
        <v>0.14000000000000001</v>
      </c>
      <c r="Q73" s="45">
        <v>4.2</v>
      </c>
      <c r="R73" s="45">
        <v>4.2</v>
      </c>
      <c r="S73" s="45">
        <v>15.2</v>
      </c>
      <c r="T73" s="45">
        <v>5.2</v>
      </c>
      <c r="U73" s="45">
        <v>10.4</v>
      </c>
      <c r="V73" s="45">
        <v>14.4</v>
      </c>
      <c r="W73" s="45">
        <v>-3.2</v>
      </c>
      <c r="X73" s="45">
        <v>-1.8</v>
      </c>
      <c r="Y73" s="45">
        <v>48.2</v>
      </c>
      <c r="Z73" s="45">
        <v>-2.8</v>
      </c>
      <c r="AA73" s="45">
        <v>-7</v>
      </c>
      <c r="AB73" s="45">
        <v>-19.7</v>
      </c>
      <c r="AC73" s="45">
        <v>-35.9</v>
      </c>
      <c r="AD73" s="45">
        <v>45</v>
      </c>
      <c r="AE73" s="45">
        <v>-22.5</v>
      </c>
      <c r="AF73" s="45">
        <v>-20.8</v>
      </c>
      <c r="AG73" s="51"/>
      <c r="AH73" s="47">
        <f t="shared" si="2"/>
        <v>48.2</v>
      </c>
      <c r="AI73" s="48">
        <f t="shared" si="3"/>
        <v>-35.9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-284</v>
      </c>
      <c r="C75" s="64">
        <v>-310</v>
      </c>
      <c r="D75" s="64">
        <v>-350.9</v>
      </c>
      <c r="E75" s="64">
        <v>-367.2</v>
      </c>
      <c r="F75" s="64">
        <v>-365.6</v>
      </c>
      <c r="G75" s="64">
        <v>-371.5</v>
      </c>
      <c r="H75" s="64">
        <v>-405.7</v>
      </c>
      <c r="I75" s="64">
        <v>-478.9</v>
      </c>
      <c r="J75" s="64">
        <v>-452</v>
      </c>
      <c r="K75" s="64">
        <v>-420</v>
      </c>
      <c r="L75" s="64">
        <v>-410</v>
      </c>
      <c r="M75" s="64">
        <v>-405.5</v>
      </c>
      <c r="N75" s="64">
        <v>-410.8</v>
      </c>
      <c r="O75" s="64">
        <v>-350.7</v>
      </c>
      <c r="P75" s="64">
        <v>-380</v>
      </c>
      <c r="Q75" s="64">
        <v>-416.2</v>
      </c>
      <c r="R75" s="64">
        <v>-416.2</v>
      </c>
      <c r="S75" s="64">
        <v>-371</v>
      </c>
      <c r="T75" s="64">
        <v>-391</v>
      </c>
      <c r="U75" s="64">
        <v>-398</v>
      </c>
      <c r="V75" s="64">
        <v>-451</v>
      </c>
      <c r="W75" s="64">
        <v>-487</v>
      </c>
      <c r="X75" s="64">
        <v>-500</v>
      </c>
      <c r="Y75" s="64">
        <v>-406</v>
      </c>
      <c r="Z75" s="64">
        <v>-392</v>
      </c>
      <c r="AA75" s="64">
        <v>-358</v>
      </c>
      <c r="AB75" s="64">
        <v>-357.5</v>
      </c>
      <c r="AC75" s="64">
        <v>-340.4</v>
      </c>
      <c r="AD75" s="64">
        <v>-325.2</v>
      </c>
      <c r="AE75" s="64">
        <v>-300</v>
      </c>
      <c r="AF75" s="64">
        <v>-298.2</v>
      </c>
      <c r="AG75" s="74"/>
      <c r="AH75" s="47">
        <f t="shared" si="2"/>
        <v>-284</v>
      </c>
      <c r="AI75" s="48">
        <f t="shared" si="3"/>
        <v>-500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/>
      <c r="E76" s="75"/>
      <c r="F76" s="75"/>
      <c r="G76" s="75"/>
      <c r="H76" s="75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45">
        <v>5</v>
      </c>
      <c r="C78" s="76">
        <v>5</v>
      </c>
      <c r="D78" s="76">
        <v>0</v>
      </c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9"/>
        <v>5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1">SUMIF(B73:B83,"&gt;0")</f>
        <v>5</v>
      </c>
      <c r="C84" s="60">
        <f t="shared" si="11"/>
        <v>9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>SUMIF(M73:M83,"&gt;0")</f>
        <v>16.899999999999999</v>
      </c>
      <c r="N84" s="60">
        <f t="shared" si="11"/>
        <v>14.7</v>
      </c>
      <c r="O84" s="60">
        <f t="shared" si="11"/>
        <v>35</v>
      </c>
      <c r="P84" s="60">
        <f t="shared" si="11"/>
        <v>0.14000000000000001</v>
      </c>
      <c r="Q84" s="60">
        <f t="shared" si="11"/>
        <v>4.2</v>
      </c>
      <c r="R84" s="60">
        <f t="shared" si="11"/>
        <v>4.2</v>
      </c>
      <c r="S84" s="60">
        <f t="shared" si="11"/>
        <v>15.2</v>
      </c>
      <c r="T84" s="60">
        <f t="shared" si="11"/>
        <v>5.2</v>
      </c>
      <c r="U84" s="60">
        <f t="shared" si="11"/>
        <v>10.4</v>
      </c>
      <c r="V84" s="60">
        <f t="shared" si="11"/>
        <v>14.4</v>
      </c>
      <c r="W84" s="60">
        <f t="shared" si="11"/>
        <v>0</v>
      </c>
      <c r="X84" s="60">
        <f t="shared" si="11"/>
        <v>0</v>
      </c>
      <c r="Y84" s="60">
        <f t="shared" si="11"/>
        <v>48.2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45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48.2</v>
      </c>
      <c r="AI84" s="48">
        <f t="shared" si="1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2045.24</v>
      </c>
      <c r="C89" s="94">
        <f t="shared" si="12"/>
        <v>2015.24</v>
      </c>
      <c r="D89" s="94">
        <f t="shared" si="12"/>
        <v>2006.24</v>
      </c>
      <c r="E89" s="94">
        <f t="shared" si="12"/>
        <v>2006.24</v>
      </c>
      <c r="F89" s="94">
        <f t="shared" si="12"/>
        <v>2006.24</v>
      </c>
      <c r="G89" s="94">
        <f t="shared" si="12"/>
        <v>2006.24</v>
      </c>
      <c r="H89" s="94">
        <f t="shared" si="12"/>
        <v>2006.24</v>
      </c>
      <c r="I89" s="94">
        <f t="shared" si="12"/>
        <v>2034.74</v>
      </c>
      <c r="J89" s="94">
        <f t="shared" si="12"/>
        <v>2091.7399999999998</v>
      </c>
      <c r="K89" s="94">
        <f t="shared" si="12"/>
        <v>2096.7399999999998</v>
      </c>
      <c r="L89" s="94">
        <f t="shared" si="12"/>
        <v>2096.7399999999998</v>
      </c>
      <c r="M89" s="94">
        <f t="shared" si="12"/>
        <v>2169.04</v>
      </c>
      <c r="N89" s="94">
        <f t="shared" si="12"/>
        <v>2143.04</v>
      </c>
      <c r="O89" s="94">
        <f t="shared" si="12"/>
        <v>2107.04</v>
      </c>
      <c r="P89" s="94">
        <f t="shared" si="12"/>
        <v>2072.1799999999998</v>
      </c>
      <c r="Q89" s="94">
        <f t="shared" si="12"/>
        <v>2132.5399999999995</v>
      </c>
      <c r="R89" s="94">
        <f t="shared" si="12"/>
        <v>2174.4399999999996</v>
      </c>
      <c r="S89" s="94">
        <f t="shared" si="12"/>
        <v>2186.4399999999996</v>
      </c>
      <c r="T89" s="94">
        <f t="shared" si="12"/>
        <v>2101.3399999999997</v>
      </c>
      <c r="U89" s="94">
        <f t="shared" si="12"/>
        <v>2102.04</v>
      </c>
      <c r="V89" s="94">
        <f t="shared" si="12"/>
        <v>2120.44</v>
      </c>
      <c r="W89" s="94">
        <f t="shared" si="12"/>
        <v>2093.04</v>
      </c>
      <c r="X89" s="94">
        <f t="shared" si="12"/>
        <v>2086.44</v>
      </c>
      <c r="Y89" s="94">
        <f t="shared" si="12"/>
        <v>2134.64</v>
      </c>
      <c r="Z89" s="94">
        <f t="shared" si="12"/>
        <v>2188.2400000000002</v>
      </c>
      <c r="AA89" s="94">
        <f t="shared" si="12"/>
        <v>2187.2400000000002</v>
      </c>
      <c r="AB89" s="94">
        <f t="shared" si="12"/>
        <v>2164.94</v>
      </c>
      <c r="AC89" s="94">
        <f t="shared" si="12"/>
        <v>2137.84</v>
      </c>
      <c r="AD89" s="94">
        <f t="shared" si="12"/>
        <v>2108.64</v>
      </c>
      <c r="AE89" s="94">
        <f t="shared" si="12"/>
        <v>2020.4399999999998</v>
      </c>
      <c r="AF89" s="94">
        <f t="shared" si="12"/>
        <v>2006.74</v>
      </c>
      <c r="AG89" s="61">
        <f t="shared" si="12"/>
        <v>2111.5500000000002</v>
      </c>
      <c r="AH89" s="47">
        <f t="shared" si="9"/>
        <v>2188.2400000000002</v>
      </c>
      <c r="AI89" s="48">
        <f t="shared" si="10"/>
        <v>2006.24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>
        <v>20</v>
      </c>
      <c r="N90" s="96">
        <v>20</v>
      </c>
      <c r="O90" s="96">
        <v>70</v>
      </c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70</v>
      </c>
      <c r="AI90" s="48">
        <f t="shared" si="10"/>
        <v>20</v>
      </c>
    </row>
    <row r="91" spans="1:40" ht="15.75" thickBot="1" x14ac:dyDescent="0.3">
      <c r="A91" s="73" t="s">
        <v>102</v>
      </c>
      <c r="B91" s="94">
        <f t="shared" ref="B91:AF91" si="13">B89+B90</f>
        <v>2045.24</v>
      </c>
      <c r="C91" s="94">
        <f t="shared" si="13"/>
        <v>2015.24</v>
      </c>
      <c r="D91" s="94">
        <f t="shared" si="13"/>
        <v>2006.24</v>
      </c>
      <c r="E91" s="94">
        <f t="shared" si="13"/>
        <v>2006.24</v>
      </c>
      <c r="F91" s="94">
        <f t="shared" si="13"/>
        <v>2006.24</v>
      </c>
      <c r="G91" s="94">
        <f t="shared" si="13"/>
        <v>2006.24</v>
      </c>
      <c r="H91" s="94">
        <f t="shared" si="13"/>
        <v>2006.24</v>
      </c>
      <c r="I91" s="94">
        <f t="shared" si="13"/>
        <v>2034.74</v>
      </c>
      <c r="J91" s="94">
        <f t="shared" si="13"/>
        <v>2091.7399999999998</v>
      </c>
      <c r="K91" s="94">
        <f t="shared" si="13"/>
        <v>2096.7399999999998</v>
      </c>
      <c r="L91" s="94">
        <f t="shared" si="13"/>
        <v>2096.7399999999998</v>
      </c>
      <c r="M91" s="94">
        <f t="shared" si="13"/>
        <v>2189.04</v>
      </c>
      <c r="N91" s="94">
        <f t="shared" si="13"/>
        <v>2163.04</v>
      </c>
      <c r="O91" s="94">
        <f t="shared" si="13"/>
        <v>2177.04</v>
      </c>
      <c r="P91" s="94">
        <f t="shared" si="13"/>
        <v>2072.1799999999998</v>
      </c>
      <c r="Q91" s="94">
        <f t="shared" si="13"/>
        <v>2132.5399999999995</v>
      </c>
      <c r="R91" s="94">
        <f t="shared" si="13"/>
        <v>2174.4399999999996</v>
      </c>
      <c r="S91" s="94">
        <f t="shared" si="13"/>
        <v>2186.4399999999996</v>
      </c>
      <c r="T91" s="94">
        <f t="shared" si="13"/>
        <v>2101.3399999999997</v>
      </c>
      <c r="U91" s="94">
        <f t="shared" si="13"/>
        <v>2102.04</v>
      </c>
      <c r="V91" s="94">
        <f t="shared" si="13"/>
        <v>2120.44</v>
      </c>
      <c r="W91" s="94">
        <f t="shared" si="13"/>
        <v>2093.04</v>
      </c>
      <c r="X91" s="94">
        <f t="shared" si="13"/>
        <v>2086.44</v>
      </c>
      <c r="Y91" s="94">
        <f t="shared" si="13"/>
        <v>2134.64</v>
      </c>
      <c r="Z91" s="94">
        <f t="shared" si="13"/>
        <v>2188.2400000000002</v>
      </c>
      <c r="AA91" s="94">
        <f t="shared" si="13"/>
        <v>2187.2400000000002</v>
      </c>
      <c r="AB91" s="94">
        <f t="shared" si="13"/>
        <v>2164.94</v>
      </c>
      <c r="AC91" s="94">
        <f t="shared" si="13"/>
        <v>2137.84</v>
      </c>
      <c r="AD91" s="94">
        <f t="shared" si="13"/>
        <v>2108.64</v>
      </c>
      <c r="AE91" s="94">
        <f t="shared" si="13"/>
        <v>2020.4399999999998</v>
      </c>
      <c r="AF91" s="94">
        <f t="shared" si="13"/>
        <v>2006.74</v>
      </c>
      <c r="AG91" s="87">
        <f>AG88+AG84+AG72+AG68+AG50+AG90</f>
        <v>1573.45</v>
      </c>
      <c r="AH91" s="47">
        <f t="shared" si="9"/>
        <v>2189.04</v>
      </c>
      <c r="AI91" s="48">
        <f t="shared" si="10"/>
        <v>2006.24</v>
      </c>
    </row>
    <row r="92" spans="1:40" ht="15.75" thickBot="1" x14ac:dyDescent="0.3">
      <c r="A92" s="73" t="s">
        <v>103</v>
      </c>
      <c r="B92" s="94">
        <f>B91-(-B99)</f>
        <v>1761.24</v>
      </c>
      <c r="C92" s="94">
        <f t="shared" ref="C92:AF92" si="14">C91-(-C99)</f>
        <v>1705.24</v>
      </c>
      <c r="D92" s="94">
        <f t="shared" si="14"/>
        <v>1655.3400000000001</v>
      </c>
      <c r="E92" s="94">
        <f t="shared" si="14"/>
        <v>1639.04</v>
      </c>
      <c r="F92" s="94">
        <f t="shared" si="14"/>
        <v>1640.6399999999999</v>
      </c>
      <c r="G92" s="94">
        <f t="shared" si="14"/>
        <v>1634.74</v>
      </c>
      <c r="H92" s="94">
        <f t="shared" si="14"/>
        <v>1600.54</v>
      </c>
      <c r="I92" s="94">
        <f t="shared" si="14"/>
        <v>1555.8400000000001</v>
      </c>
      <c r="J92" s="94">
        <f t="shared" si="14"/>
        <v>1639.7399999999998</v>
      </c>
      <c r="K92" s="94">
        <f t="shared" si="14"/>
        <v>1676.7399999999998</v>
      </c>
      <c r="L92" s="94">
        <f t="shared" si="14"/>
        <v>1686.7399999999998</v>
      </c>
      <c r="M92" s="94">
        <f t="shared" si="14"/>
        <v>1783.54</v>
      </c>
      <c r="N92" s="94">
        <f t="shared" si="14"/>
        <v>1752.24</v>
      </c>
      <c r="O92" s="94">
        <f t="shared" si="14"/>
        <v>1826.34</v>
      </c>
      <c r="P92" s="94">
        <f t="shared" si="14"/>
        <v>1692.1799999999998</v>
      </c>
      <c r="Q92" s="94">
        <f t="shared" si="14"/>
        <v>1716.3399999999995</v>
      </c>
      <c r="R92" s="94">
        <f t="shared" si="14"/>
        <v>1758.2399999999996</v>
      </c>
      <c r="S92" s="94">
        <f t="shared" si="14"/>
        <v>1815.4399999999996</v>
      </c>
      <c r="T92" s="94">
        <f t="shared" si="14"/>
        <v>1710.3399999999997</v>
      </c>
      <c r="U92" s="94">
        <f t="shared" si="14"/>
        <v>1704.04</v>
      </c>
      <c r="V92" s="94">
        <f t="shared" si="14"/>
        <v>1669.44</v>
      </c>
      <c r="W92" s="94">
        <f t="shared" si="14"/>
        <v>1606.04</v>
      </c>
      <c r="X92" s="94">
        <f t="shared" si="14"/>
        <v>1586.44</v>
      </c>
      <c r="Y92" s="94">
        <f t="shared" si="14"/>
        <v>1728.6399999999999</v>
      </c>
      <c r="Z92" s="94">
        <f t="shared" si="14"/>
        <v>1796.2400000000002</v>
      </c>
      <c r="AA92" s="94">
        <f t="shared" si="14"/>
        <v>1829.2400000000002</v>
      </c>
      <c r="AB92" s="94">
        <f t="shared" si="14"/>
        <v>1807.44</v>
      </c>
      <c r="AC92" s="94">
        <f t="shared" si="14"/>
        <v>1797.44</v>
      </c>
      <c r="AD92" s="94">
        <f t="shared" si="14"/>
        <v>1783.4399999999998</v>
      </c>
      <c r="AE92" s="94">
        <f t="shared" si="14"/>
        <v>1720.4399999999998</v>
      </c>
      <c r="AF92" s="94">
        <f t="shared" si="14"/>
        <v>1708.54</v>
      </c>
      <c r="AG92" s="87"/>
      <c r="AH92" s="47">
        <f t="shared" si="9"/>
        <v>1829.2400000000002</v>
      </c>
      <c r="AI92" s="48">
        <f t="shared" si="10"/>
        <v>1555.8400000000001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-284</v>
      </c>
      <c r="C99" s="60">
        <f t="shared" ref="C99:AF99" si="15">C75</f>
        <v>-310</v>
      </c>
      <c r="D99" s="60">
        <f t="shared" si="15"/>
        <v>-350.9</v>
      </c>
      <c r="E99" s="60">
        <f t="shared" si="15"/>
        <v>-367.2</v>
      </c>
      <c r="F99" s="60">
        <f t="shared" si="15"/>
        <v>-365.6</v>
      </c>
      <c r="G99" s="60">
        <f t="shared" si="15"/>
        <v>-371.5</v>
      </c>
      <c r="H99" s="60">
        <f t="shared" si="15"/>
        <v>-405.7</v>
      </c>
      <c r="I99" s="60">
        <f t="shared" si="15"/>
        <v>-478.9</v>
      </c>
      <c r="J99" s="60">
        <f t="shared" si="15"/>
        <v>-452</v>
      </c>
      <c r="K99" s="60">
        <f t="shared" si="15"/>
        <v>-420</v>
      </c>
      <c r="L99" s="60">
        <f t="shared" si="15"/>
        <v>-410</v>
      </c>
      <c r="M99" s="60">
        <f t="shared" si="15"/>
        <v>-405.5</v>
      </c>
      <c r="N99" s="60">
        <f t="shared" si="15"/>
        <v>-410.8</v>
      </c>
      <c r="O99" s="60">
        <f t="shared" si="15"/>
        <v>-350.7</v>
      </c>
      <c r="P99" s="60">
        <f t="shared" si="15"/>
        <v>-380</v>
      </c>
      <c r="Q99" s="60">
        <f t="shared" si="15"/>
        <v>-416.2</v>
      </c>
      <c r="R99" s="60">
        <f t="shared" si="15"/>
        <v>-416.2</v>
      </c>
      <c r="S99" s="60">
        <f t="shared" si="15"/>
        <v>-371</v>
      </c>
      <c r="T99" s="60">
        <f t="shared" si="15"/>
        <v>-391</v>
      </c>
      <c r="U99" s="60">
        <f t="shared" si="15"/>
        <v>-398</v>
      </c>
      <c r="V99" s="60">
        <f t="shared" si="15"/>
        <v>-451</v>
      </c>
      <c r="W99" s="60">
        <f t="shared" si="15"/>
        <v>-487</v>
      </c>
      <c r="X99" s="60">
        <f t="shared" si="15"/>
        <v>-500</v>
      </c>
      <c r="Y99" s="60">
        <f t="shared" si="15"/>
        <v>-406</v>
      </c>
      <c r="Z99" s="60">
        <f t="shared" si="15"/>
        <v>-392</v>
      </c>
      <c r="AA99" s="60">
        <f t="shared" si="15"/>
        <v>-358</v>
      </c>
      <c r="AB99" s="60">
        <f t="shared" si="15"/>
        <v>-357.5</v>
      </c>
      <c r="AC99" s="60">
        <f t="shared" si="15"/>
        <v>-340.4</v>
      </c>
      <c r="AD99" s="60">
        <f t="shared" si="15"/>
        <v>-325.2</v>
      </c>
      <c r="AE99" s="60">
        <f t="shared" si="15"/>
        <v>-300</v>
      </c>
      <c r="AF99" s="60">
        <f t="shared" si="15"/>
        <v>-298.2</v>
      </c>
      <c r="AG99" s="87"/>
      <c r="AH99" s="47">
        <f t="shared" si="9"/>
        <v>-284</v>
      </c>
      <c r="AI99" s="48">
        <f t="shared" si="10"/>
        <v>-500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289</v>
      </c>
      <c r="C100" s="60">
        <f t="shared" si="16"/>
        <v>319</v>
      </c>
      <c r="D100" s="60">
        <f t="shared" si="16"/>
        <v>350.9</v>
      </c>
      <c r="E100" s="60">
        <f t="shared" si="16"/>
        <v>367.2</v>
      </c>
      <c r="F100" s="60">
        <f t="shared" si="16"/>
        <v>365.6</v>
      </c>
      <c r="G100" s="60">
        <f t="shared" si="16"/>
        <v>371.5</v>
      </c>
      <c r="H100" s="60">
        <f t="shared" si="16"/>
        <v>405.7</v>
      </c>
      <c r="I100" s="60">
        <f t="shared" si="16"/>
        <v>478.9</v>
      </c>
      <c r="J100" s="60">
        <f t="shared" si="16"/>
        <v>452</v>
      </c>
      <c r="K100" s="60">
        <f t="shared" si="16"/>
        <v>420</v>
      </c>
      <c r="L100" s="60">
        <f t="shared" si="16"/>
        <v>410</v>
      </c>
      <c r="M100" s="60">
        <f t="shared" si="16"/>
        <v>422.4</v>
      </c>
      <c r="N100" s="60">
        <f t="shared" si="16"/>
        <v>425.5</v>
      </c>
      <c r="O100" s="60">
        <f t="shared" si="16"/>
        <v>385.7</v>
      </c>
      <c r="P100" s="60">
        <f t="shared" si="16"/>
        <v>380.14</v>
      </c>
      <c r="Q100" s="60">
        <f t="shared" si="16"/>
        <v>420.4</v>
      </c>
      <c r="R100" s="60">
        <f t="shared" si="16"/>
        <v>420.4</v>
      </c>
      <c r="S100" s="60">
        <f t="shared" si="16"/>
        <v>386.2</v>
      </c>
      <c r="T100" s="60">
        <f t="shared" si="16"/>
        <v>396.2</v>
      </c>
      <c r="U100" s="60">
        <f t="shared" si="16"/>
        <v>408.4</v>
      </c>
      <c r="V100" s="60">
        <f t="shared" si="16"/>
        <v>465.4</v>
      </c>
      <c r="W100" s="60">
        <f t="shared" si="16"/>
        <v>487</v>
      </c>
      <c r="X100" s="60">
        <f t="shared" si="16"/>
        <v>500</v>
      </c>
      <c r="Y100" s="60">
        <f t="shared" si="16"/>
        <v>454.2</v>
      </c>
      <c r="Z100" s="60">
        <f t="shared" si="16"/>
        <v>392</v>
      </c>
      <c r="AA100" s="60">
        <f t="shared" si="16"/>
        <v>358</v>
      </c>
      <c r="AB100" s="60">
        <f t="shared" si="16"/>
        <v>357.5</v>
      </c>
      <c r="AC100" s="60">
        <f t="shared" si="16"/>
        <v>340.4</v>
      </c>
      <c r="AD100" s="60">
        <f t="shared" si="16"/>
        <v>370.2</v>
      </c>
      <c r="AE100" s="60">
        <f t="shared" si="16"/>
        <v>300</v>
      </c>
      <c r="AF100" s="60">
        <f t="shared" si="16"/>
        <v>298.2</v>
      </c>
      <c r="AG100" s="87"/>
      <c r="AH100" s="47">
        <f t="shared" si="9"/>
        <v>500</v>
      </c>
      <c r="AI100" s="48">
        <f t="shared" si="10"/>
        <v>289</v>
      </c>
    </row>
    <row r="101" spans="1:37" x14ac:dyDescent="0.25">
      <c r="A101" s="99" t="s">
        <v>109</v>
      </c>
      <c r="B101" s="100">
        <v>50.04</v>
      </c>
      <c r="C101" s="100">
        <v>49.96</v>
      </c>
      <c r="D101" s="100">
        <v>49.98</v>
      </c>
      <c r="E101" s="100">
        <v>50.04</v>
      </c>
      <c r="F101" s="100">
        <v>50.01</v>
      </c>
      <c r="G101" s="100">
        <v>49.98</v>
      </c>
      <c r="H101" s="100">
        <v>49.99</v>
      </c>
      <c r="I101" s="100">
        <v>50.057000000000002</v>
      </c>
      <c r="J101" s="100">
        <v>50</v>
      </c>
      <c r="K101" s="100">
        <v>49.93</v>
      </c>
      <c r="L101" s="100">
        <v>49.89</v>
      </c>
      <c r="M101" s="100">
        <v>50.045999999999999</v>
      </c>
      <c r="N101" s="100">
        <v>50.185000000000002</v>
      </c>
      <c r="O101" s="100">
        <v>49.954999999999998</v>
      </c>
      <c r="P101" s="100">
        <v>50</v>
      </c>
      <c r="Q101" s="100">
        <v>49.963999999999999</v>
      </c>
      <c r="R101" s="100">
        <v>49.927</v>
      </c>
      <c r="S101" s="100">
        <v>15.4</v>
      </c>
      <c r="T101" s="100">
        <v>50.017000000000003</v>
      </c>
      <c r="U101" s="100">
        <v>50.017000000000003</v>
      </c>
      <c r="V101" s="100">
        <v>49.982999999999997</v>
      </c>
      <c r="W101" s="100">
        <v>50.057000000000002</v>
      </c>
      <c r="X101" s="100">
        <v>50.037999999999997</v>
      </c>
      <c r="Y101" s="100">
        <v>49.982999999999997</v>
      </c>
      <c r="Z101" s="100">
        <v>50.039000000000001</v>
      </c>
      <c r="AA101" s="100">
        <v>50.042000000000002</v>
      </c>
      <c r="AB101" s="100">
        <v>50.063000000000002</v>
      </c>
      <c r="AC101" s="100">
        <v>50.012999999999998</v>
      </c>
      <c r="AD101" s="100">
        <v>49.988</v>
      </c>
      <c r="AE101" s="100">
        <v>50.01</v>
      </c>
      <c r="AF101" s="100">
        <v>50.02</v>
      </c>
      <c r="AG101" s="101"/>
      <c r="AH101" s="47">
        <f t="shared" si="9"/>
        <v>50.185000000000002</v>
      </c>
      <c r="AI101" s="48">
        <f t="shared" si="10"/>
        <v>15.4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127.6</v>
      </c>
      <c r="C103" s="64">
        <v>127.6</v>
      </c>
      <c r="D103" s="64">
        <v>127.6</v>
      </c>
      <c r="E103" s="64">
        <v>127.6</v>
      </c>
      <c r="F103" s="64">
        <v>127.6</v>
      </c>
      <c r="G103" s="64">
        <v>127.6</v>
      </c>
      <c r="H103" s="64">
        <v>127.6</v>
      </c>
      <c r="I103" s="64">
        <v>127.6</v>
      </c>
      <c r="J103" s="64">
        <v>125.6</v>
      </c>
      <c r="K103" s="64">
        <v>125.6</v>
      </c>
      <c r="L103" s="64">
        <v>125.6</v>
      </c>
      <c r="M103" s="64">
        <v>122.9</v>
      </c>
      <c r="N103" s="64">
        <v>123.3</v>
      </c>
      <c r="O103" s="64">
        <v>123.6</v>
      </c>
      <c r="P103" s="64">
        <v>123.6</v>
      </c>
      <c r="Q103" s="64">
        <v>124.5</v>
      </c>
      <c r="R103" s="64">
        <v>125.3</v>
      </c>
      <c r="S103" s="64">
        <v>123.9</v>
      </c>
      <c r="T103" s="64">
        <v>125.8</v>
      </c>
      <c r="U103" s="64">
        <v>125.8</v>
      </c>
      <c r="V103" s="64">
        <v>127.5</v>
      </c>
      <c r="W103" s="64">
        <v>127.1</v>
      </c>
      <c r="X103" s="64">
        <v>127.3</v>
      </c>
      <c r="Y103" s="64">
        <v>128.5</v>
      </c>
      <c r="Z103" s="64">
        <v>124.7</v>
      </c>
      <c r="AA103" s="64">
        <v>125.7</v>
      </c>
      <c r="AB103" s="64">
        <v>127.8</v>
      </c>
      <c r="AC103" s="64">
        <v>127</v>
      </c>
      <c r="AD103" s="64">
        <v>127</v>
      </c>
      <c r="AE103" s="64">
        <v>127</v>
      </c>
      <c r="AF103" s="64">
        <v>126.1</v>
      </c>
      <c r="AG103" s="103"/>
      <c r="AH103" s="47">
        <f t="shared" si="9"/>
        <v>128.5</v>
      </c>
      <c r="AI103" s="48">
        <f t="shared" si="10"/>
        <v>122.9</v>
      </c>
    </row>
    <row r="104" spans="1:37" x14ac:dyDescent="0.25">
      <c r="A104" s="102" t="s">
        <v>112</v>
      </c>
      <c r="B104" s="64">
        <v>126</v>
      </c>
      <c r="C104" s="64">
        <v>126</v>
      </c>
      <c r="D104" s="64">
        <v>126</v>
      </c>
      <c r="E104" s="64">
        <v>126</v>
      </c>
      <c r="F104" s="64">
        <v>126</v>
      </c>
      <c r="G104" s="64">
        <v>126</v>
      </c>
      <c r="H104" s="64">
        <v>126</v>
      </c>
      <c r="I104" s="64">
        <v>126</v>
      </c>
      <c r="J104" s="64">
        <v>129</v>
      </c>
      <c r="K104" s="64">
        <v>129</v>
      </c>
      <c r="L104" s="64">
        <v>129</v>
      </c>
      <c r="M104" s="64">
        <v>122.3</v>
      </c>
      <c r="N104" s="64">
        <v>126.6</v>
      </c>
      <c r="O104" s="64">
        <v>126.1</v>
      </c>
      <c r="P104" s="64">
        <v>126.1</v>
      </c>
      <c r="Q104" s="64">
        <v>128</v>
      </c>
      <c r="R104" s="64">
        <v>128.6</v>
      </c>
      <c r="S104" s="64">
        <v>128.1</v>
      </c>
      <c r="T104" s="64">
        <v>129.4</v>
      </c>
      <c r="U104" s="64">
        <v>129.4</v>
      </c>
      <c r="V104" s="64">
        <v>129.30000000000001</v>
      </c>
      <c r="W104" s="64">
        <v>129.19999999999999</v>
      </c>
      <c r="X104" s="64">
        <v>127.7</v>
      </c>
      <c r="Y104" s="64">
        <v>126.6</v>
      </c>
      <c r="Z104" s="64">
        <v>125.7</v>
      </c>
      <c r="AA104" s="64">
        <v>124.2</v>
      </c>
      <c r="AB104" s="64">
        <v>127.3</v>
      </c>
      <c r="AC104" s="64">
        <v>128.19999999999999</v>
      </c>
      <c r="AD104" s="64">
        <v>127.8</v>
      </c>
      <c r="AE104" s="64">
        <v>127.8</v>
      </c>
      <c r="AF104" s="64">
        <v>126</v>
      </c>
      <c r="AG104" s="103"/>
      <c r="AH104" s="47">
        <f t="shared" si="9"/>
        <v>129.4</v>
      </c>
      <c r="AI104" s="48">
        <f t="shared" si="10"/>
        <v>122.3</v>
      </c>
    </row>
    <row r="105" spans="1:37" x14ac:dyDescent="0.25">
      <c r="A105" s="104" t="s">
        <v>113</v>
      </c>
      <c r="B105" s="64">
        <v>129</v>
      </c>
      <c r="C105" s="64">
        <v>129</v>
      </c>
      <c r="D105" s="64">
        <v>129</v>
      </c>
      <c r="E105" s="64">
        <v>129</v>
      </c>
      <c r="F105" s="64">
        <v>129</v>
      </c>
      <c r="G105" s="64">
        <v>129</v>
      </c>
      <c r="H105" s="64">
        <v>129</v>
      </c>
      <c r="I105" s="64">
        <v>129</v>
      </c>
      <c r="J105" s="64">
        <v>131</v>
      </c>
      <c r="K105" s="64">
        <v>131</v>
      </c>
      <c r="L105" s="64">
        <v>131</v>
      </c>
      <c r="M105" s="64">
        <v>124.8</v>
      </c>
      <c r="N105" s="64">
        <v>127.3</v>
      </c>
      <c r="O105" s="64">
        <v>126.3</v>
      </c>
      <c r="P105" s="64">
        <v>126.3</v>
      </c>
      <c r="Q105" s="64">
        <v>129.30000000000001</v>
      </c>
      <c r="R105" s="64">
        <v>130.1</v>
      </c>
      <c r="S105" s="64">
        <v>128.6</v>
      </c>
      <c r="T105" s="64">
        <v>131</v>
      </c>
      <c r="U105" s="64">
        <v>131</v>
      </c>
      <c r="V105" s="64">
        <v>131</v>
      </c>
      <c r="W105" s="64">
        <v>134.30000000000001</v>
      </c>
      <c r="X105" s="64">
        <v>130.1</v>
      </c>
      <c r="Y105" s="64">
        <v>129.6</v>
      </c>
      <c r="Z105" s="64">
        <v>128.5</v>
      </c>
      <c r="AA105" s="64">
        <v>128.80000000000001</v>
      </c>
      <c r="AB105" s="64">
        <v>130.6</v>
      </c>
      <c r="AC105" s="64">
        <v>131.30000000000001</v>
      </c>
      <c r="AD105" s="64">
        <v>130.5</v>
      </c>
      <c r="AE105" s="64">
        <v>130.5</v>
      </c>
      <c r="AF105" s="64">
        <v>129</v>
      </c>
      <c r="AG105" s="103"/>
      <c r="AH105" s="47">
        <f t="shared" si="9"/>
        <v>134.30000000000001</v>
      </c>
      <c r="AI105" s="48">
        <f t="shared" si="10"/>
        <v>124.8</v>
      </c>
    </row>
    <row r="106" spans="1:37" x14ac:dyDescent="0.25">
      <c r="A106" s="104" t="s">
        <v>114</v>
      </c>
      <c r="B106" s="105">
        <v>133</v>
      </c>
      <c r="C106" s="105">
        <v>133</v>
      </c>
      <c r="D106" s="105">
        <v>133</v>
      </c>
      <c r="E106" s="105">
        <v>133</v>
      </c>
      <c r="F106" s="105">
        <v>133</v>
      </c>
      <c r="G106" s="105">
        <v>133</v>
      </c>
      <c r="H106" s="105">
        <v>133</v>
      </c>
      <c r="I106" s="105">
        <v>133</v>
      </c>
      <c r="J106" s="105">
        <v>133</v>
      </c>
      <c r="K106" s="105">
        <v>133</v>
      </c>
      <c r="L106" s="105">
        <v>133</v>
      </c>
      <c r="M106" s="105">
        <v>131</v>
      </c>
      <c r="N106" s="105">
        <v>131.4</v>
      </c>
      <c r="O106" s="105">
        <v>131.9</v>
      </c>
      <c r="P106" s="105">
        <v>131.9</v>
      </c>
      <c r="Q106" s="105">
        <v>128.6</v>
      </c>
      <c r="R106" s="105">
        <v>130.80000000000001</v>
      </c>
      <c r="S106" s="105">
        <v>129.19999999999999</v>
      </c>
      <c r="T106" s="105">
        <v>131.5</v>
      </c>
      <c r="U106" s="105">
        <v>131.5</v>
      </c>
      <c r="V106" s="105">
        <v>135.30000000000001</v>
      </c>
      <c r="W106" s="105">
        <v>130.80000000000001</v>
      </c>
      <c r="X106" s="105">
        <v>131.1</v>
      </c>
      <c r="Y106" s="105">
        <v>135.69999999999999</v>
      </c>
      <c r="Z106" s="105">
        <v>133.4</v>
      </c>
      <c r="AA106" s="105">
        <v>130.69999999999999</v>
      </c>
      <c r="AB106" s="105">
        <v>134.6</v>
      </c>
      <c r="AC106" s="105">
        <v>130</v>
      </c>
      <c r="AD106" s="105">
        <v>128.30000000000001</v>
      </c>
      <c r="AE106" s="105">
        <v>128.30000000000001</v>
      </c>
      <c r="AF106" s="105">
        <v>127.3</v>
      </c>
      <c r="AG106" s="106"/>
      <c r="AH106" s="47">
        <f t="shared" si="9"/>
        <v>135.69999999999999</v>
      </c>
      <c r="AI106" s="48">
        <f t="shared" si="10"/>
        <v>127.3</v>
      </c>
    </row>
    <row r="107" spans="1:37" x14ac:dyDescent="0.25">
      <c r="A107" s="102" t="s">
        <v>115</v>
      </c>
      <c r="B107" s="64">
        <v>131</v>
      </c>
      <c r="C107" s="64">
        <v>131</v>
      </c>
      <c r="D107" s="64">
        <v>131</v>
      </c>
      <c r="E107" s="64">
        <v>131</v>
      </c>
      <c r="F107" s="64">
        <v>131</v>
      </c>
      <c r="G107" s="64">
        <v>131</v>
      </c>
      <c r="H107" s="64">
        <v>131</v>
      </c>
      <c r="I107" s="64">
        <v>131</v>
      </c>
      <c r="J107" s="64">
        <v>133</v>
      </c>
      <c r="K107" s="64">
        <v>133</v>
      </c>
      <c r="L107" s="64">
        <v>133</v>
      </c>
      <c r="M107" s="64">
        <v>128.80000000000001</v>
      </c>
      <c r="N107" s="64">
        <v>126.6</v>
      </c>
      <c r="O107" s="64">
        <v>129</v>
      </c>
      <c r="P107" s="64">
        <v>129</v>
      </c>
      <c r="Q107" s="64">
        <v>129.80000000000001</v>
      </c>
      <c r="R107" s="64">
        <v>126.8</v>
      </c>
      <c r="S107" s="64">
        <v>135.69999999999999</v>
      </c>
      <c r="T107" s="64">
        <v>132.4</v>
      </c>
      <c r="U107" s="64">
        <v>132.4</v>
      </c>
      <c r="V107" s="64">
        <v>137.9</v>
      </c>
      <c r="W107" s="64">
        <v>130.80000000000001</v>
      </c>
      <c r="X107" s="64">
        <v>0</v>
      </c>
      <c r="Y107" s="64">
        <v>0</v>
      </c>
      <c r="Z107" s="64">
        <v>132.4</v>
      </c>
      <c r="AA107" s="64">
        <v>127.6</v>
      </c>
      <c r="AB107" s="64">
        <v>135.80000000000001</v>
      </c>
      <c r="AC107" s="64">
        <v>123.2</v>
      </c>
      <c r="AD107" s="64">
        <v>124.7</v>
      </c>
      <c r="AE107" s="64">
        <v>124.7</v>
      </c>
      <c r="AF107" s="64">
        <v>127.4</v>
      </c>
      <c r="AG107" s="103"/>
      <c r="AH107" s="47">
        <f t="shared" si="9"/>
        <v>137.9</v>
      </c>
      <c r="AI107" s="48">
        <f t="shared" si="10"/>
        <v>0</v>
      </c>
    </row>
    <row r="108" spans="1:37" ht="15.75" thickBot="1" x14ac:dyDescent="0.3">
      <c r="A108" s="102" t="s">
        <v>116</v>
      </c>
      <c r="B108" s="91">
        <v>64</v>
      </c>
      <c r="C108" s="91">
        <v>64</v>
      </c>
      <c r="D108" s="91">
        <v>64</v>
      </c>
      <c r="E108" s="91">
        <v>64</v>
      </c>
      <c r="F108" s="91">
        <v>64</v>
      </c>
      <c r="G108" s="91">
        <v>64</v>
      </c>
      <c r="H108" s="91">
        <v>64</v>
      </c>
      <c r="I108" s="91">
        <v>64</v>
      </c>
      <c r="J108" s="91">
        <v>63.5</v>
      </c>
      <c r="K108" s="91">
        <v>63.5</v>
      </c>
      <c r="L108" s="91">
        <v>63.5</v>
      </c>
      <c r="M108" s="91">
        <v>61.6</v>
      </c>
      <c r="N108" s="91">
        <v>61.4</v>
      </c>
      <c r="O108" s="91">
        <v>61.7</v>
      </c>
      <c r="P108" s="91">
        <v>61.7</v>
      </c>
      <c r="Q108" s="91">
        <v>61.3</v>
      </c>
      <c r="R108" s="91">
        <v>62.2</v>
      </c>
      <c r="S108" s="91">
        <v>61.8</v>
      </c>
      <c r="T108" s="91">
        <v>62.6</v>
      </c>
      <c r="U108" s="91">
        <v>62.6</v>
      </c>
      <c r="V108" s="91">
        <v>63.4</v>
      </c>
      <c r="W108" s="91">
        <v>63.2</v>
      </c>
      <c r="X108" s="91">
        <v>63.5</v>
      </c>
      <c r="Y108" s="91">
        <v>63.9</v>
      </c>
      <c r="Z108" s="91">
        <v>62.2</v>
      </c>
      <c r="AA108" s="91">
        <v>62.8</v>
      </c>
      <c r="AB108" s="91">
        <v>64.2</v>
      </c>
      <c r="AC108" s="91">
        <v>63.7</v>
      </c>
      <c r="AD108" s="91">
        <v>64</v>
      </c>
      <c r="AE108" s="91">
        <v>64</v>
      </c>
      <c r="AF108" s="91">
        <v>63.7</v>
      </c>
      <c r="AG108" s="107"/>
      <c r="AH108" s="47">
        <f t="shared" si="9"/>
        <v>64.2</v>
      </c>
      <c r="AI108" s="48">
        <f t="shared" si="10"/>
        <v>61.3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64.800000000000011</v>
      </c>
      <c r="C110" s="110">
        <f t="shared" si="17"/>
        <v>66.740000000000009</v>
      </c>
      <c r="D110" s="110">
        <f t="shared" si="17"/>
        <v>66.740000000000009</v>
      </c>
      <c r="E110" s="110">
        <f t="shared" si="17"/>
        <v>66.740000000000009</v>
      </c>
      <c r="F110" s="110">
        <f t="shared" si="17"/>
        <v>66.740000000000009</v>
      </c>
      <c r="G110" s="110">
        <f t="shared" si="17"/>
        <v>66.740000000000009</v>
      </c>
      <c r="H110" s="110">
        <f t="shared" si="17"/>
        <v>66.740000000000009</v>
      </c>
      <c r="I110" s="110">
        <f t="shared" si="17"/>
        <v>66.740000000000009</v>
      </c>
      <c r="J110" s="110">
        <f t="shared" si="17"/>
        <v>76.740000000000009</v>
      </c>
      <c r="K110" s="110">
        <f t="shared" si="17"/>
        <v>139.74</v>
      </c>
      <c r="L110" s="110">
        <f t="shared" si="17"/>
        <v>178.74</v>
      </c>
      <c r="M110" s="110">
        <f t="shared" si="17"/>
        <v>192.84</v>
      </c>
      <c r="N110" s="110">
        <f t="shared" si="17"/>
        <v>192.44</v>
      </c>
      <c r="O110" s="110">
        <f t="shared" si="17"/>
        <v>189.74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185.59999999999997</v>
      </c>
      <c r="R110" s="110">
        <f t="shared" si="18"/>
        <v>211.60000000000002</v>
      </c>
      <c r="S110" s="110">
        <f t="shared" si="18"/>
        <v>214</v>
      </c>
      <c r="T110" s="110">
        <f t="shared" si="18"/>
        <v>195.1</v>
      </c>
      <c r="U110" s="110">
        <f t="shared" si="18"/>
        <v>200.7</v>
      </c>
      <c r="V110" s="110">
        <f t="shared" si="18"/>
        <v>195.79999999999998</v>
      </c>
      <c r="W110" s="110">
        <f t="shared" si="18"/>
        <v>196.29999999999995</v>
      </c>
      <c r="X110" s="110">
        <f t="shared" si="18"/>
        <v>193.60000000000002</v>
      </c>
      <c r="Y110" s="110">
        <f t="shared" si="18"/>
        <v>237.4</v>
      </c>
      <c r="Z110" s="110">
        <f t="shared" si="18"/>
        <v>279.5</v>
      </c>
      <c r="AA110" s="110">
        <f t="shared" si="18"/>
        <v>242.3</v>
      </c>
      <c r="AB110" s="110">
        <f t="shared" si="18"/>
        <v>171.6</v>
      </c>
      <c r="AC110" s="110">
        <f t="shared" si="18"/>
        <v>140.69999999999999</v>
      </c>
      <c r="AD110" s="110"/>
      <c r="AE110" s="110">
        <f t="shared" si="18"/>
        <v>91.999999999999972</v>
      </c>
      <c r="AF110" s="110">
        <f t="shared" si="18"/>
        <v>46.59999999999998</v>
      </c>
      <c r="AG110" s="111"/>
      <c r="AH110" s="47">
        <f t="shared" si="9"/>
        <v>279.5</v>
      </c>
      <c r="AI110" s="48">
        <f t="shared" si="10"/>
        <v>42</v>
      </c>
    </row>
    <row r="111" spans="1:37" x14ac:dyDescent="0.25">
      <c r="A111" s="99" t="s">
        <v>119</v>
      </c>
      <c r="B111" s="112">
        <v>37</v>
      </c>
      <c r="C111" s="112">
        <v>37</v>
      </c>
      <c r="D111" s="112">
        <v>37</v>
      </c>
      <c r="E111" s="112">
        <v>37</v>
      </c>
      <c r="F111" s="112">
        <v>37</v>
      </c>
      <c r="G111" s="112">
        <v>37</v>
      </c>
      <c r="H111" s="112">
        <v>37</v>
      </c>
      <c r="I111" s="112">
        <v>37</v>
      </c>
      <c r="J111" s="112">
        <v>37</v>
      </c>
      <c r="K111" s="112">
        <v>60</v>
      </c>
      <c r="L111" s="112">
        <v>66</v>
      </c>
      <c r="M111" s="112">
        <v>62.4</v>
      </c>
      <c r="N111" s="112">
        <v>54.4</v>
      </c>
      <c r="O111" s="112">
        <v>69.900000000000006</v>
      </c>
      <c r="P111" s="112">
        <v>69.900000000000006</v>
      </c>
      <c r="Q111" s="112">
        <v>38.200000000000003</v>
      </c>
      <c r="R111" s="112">
        <v>33.9</v>
      </c>
      <c r="S111" s="112">
        <v>31</v>
      </c>
      <c r="T111" s="112">
        <v>24.5</v>
      </c>
      <c r="U111" s="112">
        <v>24.5</v>
      </c>
      <c r="V111" s="112">
        <v>31.6</v>
      </c>
      <c r="W111" s="112">
        <v>32.1</v>
      </c>
      <c r="X111" s="112">
        <v>38.5</v>
      </c>
      <c r="Y111" s="112">
        <v>24</v>
      </c>
      <c r="Z111" s="112">
        <v>52.3</v>
      </c>
      <c r="AA111" s="112">
        <v>70.7</v>
      </c>
      <c r="AB111" s="112">
        <v>53.6</v>
      </c>
      <c r="AC111" s="112">
        <v>47.6</v>
      </c>
      <c r="AD111" s="112">
        <v>43.7</v>
      </c>
      <c r="AE111" s="112">
        <v>31.2</v>
      </c>
      <c r="AF111" s="112">
        <v>13.1</v>
      </c>
      <c r="AG111" s="113">
        <v>75</v>
      </c>
      <c r="AH111" s="47">
        <f t="shared" si="9"/>
        <v>70.7</v>
      </c>
      <c r="AI111" s="48">
        <f t="shared" si="10"/>
        <v>13.1</v>
      </c>
    </row>
    <row r="112" spans="1:37" x14ac:dyDescent="0.25">
      <c r="A112" s="102" t="s">
        <v>120</v>
      </c>
      <c r="B112" s="114">
        <v>54</v>
      </c>
      <c r="C112" s="114">
        <v>54</v>
      </c>
      <c r="D112" s="114">
        <v>54</v>
      </c>
      <c r="E112" s="114">
        <v>54</v>
      </c>
      <c r="F112" s="114">
        <v>54</v>
      </c>
      <c r="G112" s="114">
        <v>54</v>
      </c>
      <c r="H112" s="114">
        <v>54</v>
      </c>
      <c r="I112" s="114">
        <v>54</v>
      </c>
      <c r="J112" s="114">
        <v>54</v>
      </c>
      <c r="K112" s="114">
        <v>88</v>
      </c>
      <c r="L112" s="114">
        <v>99</v>
      </c>
      <c r="M112" s="114">
        <v>94.2</v>
      </c>
      <c r="N112" s="114">
        <v>83.3</v>
      </c>
      <c r="O112" s="114">
        <v>92.6</v>
      </c>
      <c r="P112" s="114">
        <v>92.6</v>
      </c>
      <c r="Q112" s="114">
        <v>53.4</v>
      </c>
      <c r="R112" s="114">
        <v>48.3</v>
      </c>
      <c r="S112" s="114">
        <v>43.6</v>
      </c>
      <c r="T112" s="114">
        <v>31</v>
      </c>
      <c r="U112" s="114">
        <v>31</v>
      </c>
      <c r="V112" s="114">
        <v>42.8</v>
      </c>
      <c r="W112" s="114">
        <v>42.7</v>
      </c>
      <c r="X112" s="114">
        <v>53.4</v>
      </c>
      <c r="Y112" s="114">
        <v>29</v>
      </c>
      <c r="Z112" s="114">
        <v>74.900000000000006</v>
      </c>
      <c r="AA112" s="114">
        <v>103.3</v>
      </c>
      <c r="AB112" s="114">
        <v>76.599999999999994</v>
      </c>
      <c r="AC112" s="114">
        <v>66.599999999999994</v>
      </c>
      <c r="AD112" s="114">
        <v>60.9</v>
      </c>
      <c r="AE112" s="114">
        <v>55.1</v>
      </c>
      <c r="AF112" s="114">
        <v>22.1</v>
      </c>
      <c r="AG112" s="113">
        <v>240</v>
      </c>
      <c r="AH112" s="47">
        <f t="shared" si="9"/>
        <v>103.3</v>
      </c>
      <c r="AI112" s="48">
        <f t="shared" si="10"/>
        <v>22.1</v>
      </c>
    </row>
    <row r="113" spans="1:37" x14ac:dyDescent="0.25">
      <c r="A113" s="102" t="s">
        <v>121</v>
      </c>
      <c r="B113" s="114">
        <v>-180</v>
      </c>
      <c r="C113" s="114">
        <v>-180</v>
      </c>
      <c r="D113" s="114">
        <v>-180</v>
      </c>
      <c r="E113" s="114">
        <v>-180</v>
      </c>
      <c r="F113" s="114">
        <v>-180</v>
      </c>
      <c r="G113" s="114">
        <v>-180</v>
      </c>
      <c r="H113" s="114">
        <v>-180</v>
      </c>
      <c r="I113" s="114">
        <v>-180</v>
      </c>
      <c r="J113" s="114">
        <v>-180</v>
      </c>
      <c r="K113" s="114">
        <v>-180</v>
      </c>
      <c r="L113" s="114">
        <v>-160</v>
      </c>
      <c r="M113" s="114">
        <v>-172</v>
      </c>
      <c r="N113" s="114">
        <v>-169</v>
      </c>
      <c r="O113" s="114">
        <v>-179</v>
      </c>
      <c r="P113" s="114">
        <v>-179</v>
      </c>
      <c r="Q113" s="114">
        <v>-120</v>
      </c>
      <c r="R113" s="114">
        <v>-118</v>
      </c>
      <c r="S113" s="114">
        <v>-104</v>
      </c>
      <c r="T113" s="114">
        <v>-88</v>
      </c>
      <c r="U113" s="114">
        <v>-88</v>
      </c>
      <c r="V113" s="114">
        <v>-104</v>
      </c>
      <c r="W113" s="114">
        <v>-85</v>
      </c>
      <c r="X113" s="114">
        <v>-102</v>
      </c>
      <c r="Y113" s="114">
        <v>-34</v>
      </c>
      <c r="Z113" s="114">
        <v>-97</v>
      </c>
      <c r="AA113" s="114">
        <v>-170</v>
      </c>
      <c r="AB113" s="114">
        <f>-86-90</f>
        <v>-176</v>
      </c>
      <c r="AC113" s="114">
        <f>-88-92</f>
        <v>-180</v>
      </c>
      <c r="AD113" s="114">
        <f>-81-85</f>
        <v>-166</v>
      </c>
      <c r="AE113" s="114">
        <v>-155</v>
      </c>
      <c r="AF113" s="114">
        <f>-67.6-71.9</f>
        <v>-139.5</v>
      </c>
      <c r="AG113" s="113">
        <v>240</v>
      </c>
      <c r="AH113" s="47">
        <f t="shared" si="9"/>
        <v>-34</v>
      </c>
      <c r="AI113" s="48">
        <f t="shared" si="10"/>
        <v>-180</v>
      </c>
    </row>
    <row r="114" spans="1:37" x14ac:dyDescent="0.25">
      <c r="A114" s="102" t="s">
        <v>122</v>
      </c>
      <c r="B114" s="114">
        <v>-11</v>
      </c>
      <c r="C114" s="114">
        <v>-11</v>
      </c>
      <c r="D114" s="114">
        <v>-11</v>
      </c>
      <c r="E114" s="114">
        <v>-11</v>
      </c>
      <c r="F114" s="114">
        <v>-11</v>
      </c>
      <c r="G114" s="114">
        <v>-11</v>
      </c>
      <c r="H114" s="114">
        <v>-11</v>
      </c>
      <c r="I114" s="114">
        <v>-11</v>
      </c>
      <c r="J114" s="114">
        <v>-11</v>
      </c>
      <c r="K114" s="114">
        <v>-5</v>
      </c>
      <c r="L114" s="114">
        <v>-3</v>
      </c>
      <c r="M114" s="114">
        <v>-6.2</v>
      </c>
      <c r="N114" s="114">
        <v>-1.6</v>
      </c>
      <c r="O114" s="114">
        <v>7.6</v>
      </c>
      <c r="P114" s="114">
        <v>7.6</v>
      </c>
      <c r="Q114" s="114">
        <v>13.7</v>
      </c>
      <c r="R114" s="114">
        <v>16.2</v>
      </c>
      <c r="S114" s="114">
        <v>12</v>
      </c>
      <c r="T114" s="114">
        <v>9</v>
      </c>
      <c r="U114" s="114">
        <v>9</v>
      </c>
      <c r="V114" s="114">
        <v>8</v>
      </c>
      <c r="W114" s="114">
        <v>8</v>
      </c>
      <c r="X114" s="114">
        <v>7.3</v>
      </c>
      <c r="Y114" s="114">
        <v>20</v>
      </c>
      <c r="Z114" s="114">
        <v>11</v>
      </c>
      <c r="AA114" s="114">
        <v>0</v>
      </c>
      <c r="AB114" s="114">
        <v>-4.4000000000000004</v>
      </c>
      <c r="AC114" s="114">
        <v>-6.5</v>
      </c>
      <c r="AD114" s="114">
        <v>-5</v>
      </c>
      <c r="AE114" s="114">
        <v>-8</v>
      </c>
      <c r="AF114" s="114">
        <v>-14.8</v>
      </c>
      <c r="AG114" s="113">
        <v>60</v>
      </c>
      <c r="AH114" s="47">
        <f t="shared" si="9"/>
        <v>20</v>
      </c>
      <c r="AI114" s="48">
        <f t="shared" si="10"/>
        <v>-14.8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24.6</v>
      </c>
      <c r="N115" s="116">
        <v>41.8</v>
      </c>
      <c r="O115" s="116">
        <v>28.6</v>
      </c>
      <c r="P115" s="116">
        <v>28.6</v>
      </c>
      <c r="Q115" s="116">
        <v>21.2</v>
      </c>
      <c r="R115" s="116">
        <v>38.799999999999997</v>
      </c>
      <c r="S115" s="116">
        <v>39</v>
      </c>
      <c r="T115" s="116">
        <v>49</v>
      </c>
      <c r="U115" s="116">
        <v>49</v>
      </c>
      <c r="V115" s="116">
        <v>43.1</v>
      </c>
      <c r="W115" s="116">
        <v>42</v>
      </c>
      <c r="X115" s="116">
        <v>40</v>
      </c>
      <c r="Y115" s="116">
        <v>42</v>
      </c>
      <c r="Z115" s="116">
        <v>43</v>
      </c>
      <c r="AA115" s="116">
        <v>43</v>
      </c>
      <c r="AB115" s="116">
        <v>41.5</v>
      </c>
      <c r="AC115" s="116">
        <v>37.799999999999997</v>
      </c>
      <c r="AD115" s="116">
        <v>31.5</v>
      </c>
      <c r="AE115" s="116">
        <v>0</v>
      </c>
      <c r="AF115" s="116">
        <v>0</v>
      </c>
      <c r="AG115" s="117">
        <v>120</v>
      </c>
      <c r="AH115" s="47">
        <f t="shared" si="9"/>
        <v>49</v>
      </c>
      <c r="AI115" s="48">
        <f t="shared" si="10"/>
        <v>0</v>
      </c>
    </row>
    <row r="116" spans="1:37" x14ac:dyDescent="0.25">
      <c r="A116" s="115" t="s">
        <v>124</v>
      </c>
      <c r="B116" s="116">
        <v>42</v>
      </c>
      <c r="C116" s="116">
        <v>42</v>
      </c>
      <c r="D116" s="116">
        <v>42</v>
      </c>
      <c r="E116" s="116">
        <v>42</v>
      </c>
      <c r="F116" s="116">
        <v>42</v>
      </c>
      <c r="G116" s="116">
        <v>42</v>
      </c>
      <c r="H116" s="116">
        <v>42</v>
      </c>
      <c r="I116" s="116">
        <v>42</v>
      </c>
      <c r="J116" s="116">
        <v>42</v>
      </c>
      <c r="K116" s="116">
        <v>35</v>
      </c>
      <c r="L116" s="116">
        <v>49</v>
      </c>
      <c r="M116" s="116">
        <v>46.3</v>
      </c>
      <c r="N116" s="116">
        <v>46.8</v>
      </c>
      <c r="O116" s="116">
        <v>73</v>
      </c>
      <c r="P116" s="116">
        <v>73</v>
      </c>
      <c r="Q116" s="116">
        <v>36.700000000000003</v>
      </c>
      <c r="R116" s="116">
        <v>42.7</v>
      </c>
      <c r="S116" s="116">
        <v>51</v>
      </c>
      <c r="T116" s="116">
        <v>45</v>
      </c>
      <c r="U116" s="116">
        <v>45</v>
      </c>
      <c r="V116" s="116">
        <v>30</v>
      </c>
      <c r="W116" s="116">
        <v>29</v>
      </c>
      <c r="X116" s="116">
        <v>15</v>
      </c>
      <c r="Y116" s="116">
        <v>32</v>
      </c>
      <c r="Z116" s="116">
        <v>32</v>
      </c>
      <c r="AA116" s="116">
        <v>38.1</v>
      </c>
      <c r="AB116" s="116">
        <v>21.8</v>
      </c>
      <c r="AC116" s="116">
        <v>31.1</v>
      </c>
      <c r="AD116" s="116">
        <v>40.299999999999997</v>
      </c>
      <c r="AE116" s="116">
        <v>50</v>
      </c>
      <c r="AF116" s="116">
        <v>52.1</v>
      </c>
      <c r="AG116" s="117"/>
      <c r="AH116" s="47">
        <f t="shared" si="9"/>
        <v>73</v>
      </c>
      <c r="AI116" s="48">
        <f t="shared" si="10"/>
        <v>15</v>
      </c>
    </row>
    <row r="117" spans="1:37" x14ac:dyDescent="0.25">
      <c r="A117" s="115" t="s">
        <v>125</v>
      </c>
      <c r="B117" s="116">
        <v>-15</v>
      </c>
      <c r="C117" s="116">
        <v>-15</v>
      </c>
      <c r="D117" s="116">
        <v>-15</v>
      </c>
      <c r="E117" s="116">
        <v>-15</v>
      </c>
      <c r="F117" s="116">
        <v>-15</v>
      </c>
      <c r="G117" s="116">
        <v>-15</v>
      </c>
      <c r="H117" s="116">
        <v>-15</v>
      </c>
      <c r="I117" s="116">
        <v>-15</v>
      </c>
      <c r="J117" s="116">
        <v>-15</v>
      </c>
      <c r="K117" s="116">
        <v>-11</v>
      </c>
      <c r="L117" s="116">
        <f>+-2</f>
        <v>-2</v>
      </c>
      <c r="M117" s="116">
        <v>-10.1</v>
      </c>
      <c r="N117" s="116">
        <v>-8.9</v>
      </c>
      <c r="O117" s="116">
        <v>-37.5</v>
      </c>
      <c r="P117" s="116">
        <v>-37.5</v>
      </c>
      <c r="Q117" s="116">
        <v>-4.5999999999999996</v>
      </c>
      <c r="R117" s="116">
        <v>-4.0999999999999996</v>
      </c>
      <c r="S117" s="116">
        <v>-3.5</v>
      </c>
      <c r="T117" s="116">
        <v>-17</v>
      </c>
      <c r="U117" s="116">
        <v>-17</v>
      </c>
      <c r="V117" s="116">
        <v>-19</v>
      </c>
      <c r="W117" s="116">
        <v>-24.3</v>
      </c>
      <c r="X117" s="116">
        <v>-38</v>
      </c>
      <c r="Y117" s="116">
        <v>15</v>
      </c>
      <c r="Z117" s="116">
        <v>-24</v>
      </c>
      <c r="AA117" s="116">
        <v>-5.7</v>
      </c>
      <c r="AB117" s="116">
        <v>-21.3</v>
      </c>
      <c r="AC117" s="116">
        <v>-20</v>
      </c>
      <c r="AD117" s="116">
        <v>-8.6</v>
      </c>
      <c r="AE117" s="116">
        <v>-8.1999999999999993</v>
      </c>
      <c r="AF117" s="116">
        <v>-3.3</v>
      </c>
      <c r="AG117" s="118"/>
      <c r="AH117" s="47">
        <f t="shared" si="9"/>
        <v>15</v>
      </c>
      <c r="AI117" s="48">
        <f t="shared" si="10"/>
        <v>-38</v>
      </c>
    </row>
    <row r="118" spans="1:37" x14ac:dyDescent="0.25">
      <c r="A118" s="119" t="s">
        <v>126</v>
      </c>
      <c r="B118" s="105">
        <v>37</v>
      </c>
      <c r="C118" s="105">
        <v>37</v>
      </c>
      <c r="D118" s="105">
        <v>37</v>
      </c>
      <c r="E118" s="105">
        <v>37</v>
      </c>
      <c r="F118" s="105">
        <v>37</v>
      </c>
      <c r="G118" s="105">
        <v>37</v>
      </c>
      <c r="H118" s="105">
        <v>37</v>
      </c>
      <c r="I118" s="105">
        <v>37</v>
      </c>
      <c r="J118" s="105">
        <v>37</v>
      </c>
      <c r="K118" s="105">
        <v>33</v>
      </c>
      <c r="L118" s="105">
        <v>45</v>
      </c>
      <c r="M118" s="105">
        <v>38.1</v>
      </c>
      <c r="N118" s="105">
        <v>36</v>
      </c>
      <c r="O118" s="105">
        <v>34.6</v>
      </c>
      <c r="P118" s="105">
        <v>34.6</v>
      </c>
      <c r="Q118" s="105">
        <v>35.6</v>
      </c>
      <c r="R118" s="105">
        <v>39.4</v>
      </c>
      <c r="S118" s="105">
        <v>38</v>
      </c>
      <c r="T118" s="105">
        <v>39</v>
      </c>
      <c r="U118" s="105">
        <v>39</v>
      </c>
      <c r="V118" s="105">
        <v>37</v>
      </c>
      <c r="W118" s="105">
        <v>56</v>
      </c>
      <c r="X118" s="105">
        <v>38</v>
      </c>
      <c r="Y118" s="105">
        <v>30</v>
      </c>
      <c r="Z118" s="105">
        <v>22</v>
      </c>
      <c r="AA118" s="105">
        <v>32.6</v>
      </c>
      <c r="AB118" s="105">
        <v>16.899999999999999</v>
      </c>
      <c r="AC118" s="105">
        <v>18</v>
      </c>
      <c r="AD118" s="105">
        <v>20.399999999999999</v>
      </c>
      <c r="AE118" s="105">
        <v>23.1</v>
      </c>
      <c r="AF118" s="105">
        <v>25.8</v>
      </c>
      <c r="AG118" s="118"/>
      <c r="AH118" s="47">
        <f t="shared" si="9"/>
        <v>56</v>
      </c>
      <c r="AI118" s="48">
        <f t="shared" si="10"/>
        <v>16.899999999999999</v>
      </c>
    </row>
    <row r="119" spans="1:37" x14ac:dyDescent="0.25">
      <c r="A119" s="120" t="s">
        <v>127</v>
      </c>
      <c r="B119" s="105">
        <v>95</v>
      </c>
      <c r="C119" s="105">
        <v>96.1</v>
      </c>
      <c r="D119" s="105">
        <v>93.6</v>
      </c>
      <c r="E119" s="105">
        <v>98.8</v>
      </c>
      <c r="F119" s="105">
        <v>94.5</v>
      </c>
      <c r="G119" s="105">
        <v>93.7</v>
      </c>
      <c r="H119" s="105">
        <v>95.1</v>
      </c>
      <c r="I119" s="105">
        <v>93.5</v>
      </c>
      <c r="J119" s="105"/>
      <c r="K119" s="105">
        <v>91</v>
      </c>
      <c r="L119" s="105">
        <v>90</v>
      </c>
      <c r="M119" s="105">
        <v>89</v>
      </c>
      <c r="N119" s="105">
        <v>85.6</v>
      </c>
      <c r="O119" s="105">
        <v>68.8</v>
      </c>
      <c r="P119" s="105">
        <v>68.8</v>
      </c>
      <c r="Q119" s="105">
        <v>89.3</v>
      </c>
      <c r="R119" s="105">
        <v>80.900000000000006</v>
      </c>
      <c r="S119" s="105">
        <v>78</v>
      </c>
      <c r="T119" s="105">
        <v>65</v>
      </c>
      <c r="U119" s="105">
        <v>65</v>
      </c>
      <c r="V119" s="105">
        <v>76</v>
      </c>
      <c r="W119" s="105">
        <v>71</v>
      </c>
      <c r="X119" s="105">
        <v>80</v>
      </c>
      <c r="Y119" s="105">
        <v>18</v>
      </c>
      <c r="Z119" s="105">
        <v>84</v>
      </c>
      <c r="AA119" s="105">
        <v>81.099999999999994</v>
      </c>
      <c r="AB119" s="105">
        <v>95</v>
      </c>
      <c r="AC119" s="105">
        <v>95</v>
      </c>
      <c r="AD119" s="105">
        <v>91.5</v>
      </c>
      <c r="AE119" s="105">
        <v>89.9</v>
      </c>
      <c r="AF119" s="105">
        <v>90.4</v>
      </c>
      <c r="AG119" s="118"/>
      <c r="AH119" s="47">
        <f t="shared" si="9"/>
        <v>98.8</v>
      </c>
      <c r="AI119" s="48">
        <f t="shared" si="10"/>
        <v>18</v>
      </c>
    </row>
    <row r="120" spans="1:37" ht="15.75" thickBot="1" x14ac:dyDescent="0.3">
      <c r="A120" s="119" t="s">
        <v>128</v>
      </c>
      <c r="B120" s="105">
        <v>45</v>
      </c>
      <c r="C120" s="105">
        <v>45</v>
      </c>
      <c r="D120" s="105">
        <v>45</v>
      </c>
      <c r="E120" s="105">
        <v>45</v>
      </c>
      <c r="F120" s="105">
        <v>45</v>
      </c>
      <c r="G120" s="105">
        <v>45</v>
      </c>
      <c r="H120" s="105">
        <v>45</v>
      </c>
      <c r="I120" s="105">
        <v>45</v>
      </c>
      <c r="J120" s="105">
        <v>45</v>
      </c>
      <c r="K120" s="105">
        <v>9</v>
      </c>
      <c r="L120" s="105">
        <v>10</v>
      </c>
      <c r="M120" s="105">
        <v>19.399999999999999</v>
      </c>
      <c r="N120" s="105">
        <v>13.3</v>
      </c>
      <c r="O120" s="105">
        <v>11.4</v>
      </c>
      <c r="P120" s="105">
        <v>11.4</v>
      </c>
      <c r="Q120" s="105">
        <v>9.9</v>
      </c>
      <c r="R120" s="105">
        <v>12</v>
      </c>
      <c r="S120" s="105">
        <v>10</v>
      </c>
      <c r="T120" s="105">
        <v>2</v>
      </c>
      <c r="U120" s="105">
        <v>2</v>
      </c>
      <c r="V120" s="105">
        <v>-4</v>
      </c>
      <c r="W120" s="105">
        <v>-15</v>
      </c>
      <c r="X120" s="105">
        <v>-7</v>
      </c>
      <c r="Y120" s="105">
        <v>16</v>
      </c>
      <c r="Z120" s="105">
        <v>27</v>
      </c>
      <c r="AA120" s="105">
        <v>32.299999999999997</v>
      </c>
      <c r="AB120" s="105">
        <v>39.4</v>
      </c>
      <c r="AC120" s="105">
        <v>41.2</v>
      </c>
      <c r="AD120" s="105">
        <v>41.9</v>
      </c>
      <c r="AE120" s="105">
        <v>46.5</v>
      </c>
      <c r="AF120" s="105">
        <v>53.8</v>
      </c>
      <c r="AG120" s="118"/>
      <c r="AH120" s="47">
        <f t="shared" si="9"/>
        <v>53.8</v>
      </c>
      <c r="AI120" s="48">
        <f t="shared" si="10"/>
        <v>-15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2189.04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2045.24</v>
      </c>
      <c r="U249" s="170">
        <f t="shared" si="23"/>
        <v>2015.24</v>
      </c>
      <c r="V249" s="170">
        <f t="shared" si="23"/>
        <v>2006.24</v>
      </c>
      <c r="W249" s="170">
        <f t="shared" si="23"/>
        <v>2006.24</v>
      </c>
      <c r="X249" s="170">
        <f t="shared" si="23"/>
        <v>2006.24</v>
      </c>
      <c r="Y249" s="170">
        <f t="shared" si="23"/>
        <v>2006.24</v>
      </c>
      <c r="Z249" s="170">
        <f t="shared" si="23"/>
        <v>2006.24</v>
      </c>
      <c r="AA249" s="170">
        <f t="shared" si="23"/>
        <v>2034.74</v>
      </c>
      <c r="AB249" s="170">
        <f t="shared" si="23"/>
        <v>2091.7399999999998</v>
      </c>
      <c r="AC249" s="170">
        <f t="shared" si="23"/>
        <v>2096.7399999999998</v>
      </c>
      <c r="AD249" s="170">
        <f t="shared" si="23"/>
        <v>2096.7399999999998</v>
      </c>
      <c r="AE249" s="170">
        <f t="shared" si="23"/>
        <v>2189.04</v>
      </c>
      <c r="AF249" s="170">
        <f t="shared" si="23"/>
        <v>2163.04</v>
      </c>
      <c r="AG249" s="170">
        <f t="shared" si="23"/>
        <v>2177.04</v>
      </c>
      <c r="AH249" s="170">
        <f t="shared" si="23"/>
        <v>2072.1799999999998</v>
      </c>
      <c r="AI249" s="170">
        <f t="shared" si="23"/>
        <v>2132.5399999999995</v>
      </c>
      <c r="AJ249" s="170">
        <f t="shared" si="23"/>
        <v>2174.4399999999996</v>
      </c>
      <c r="AK249" s="170">
        <f t="shared" si="23"/>
        <v>2186.4399999999996</v>
      </c>
      <c r="AL249" s="170">
        <f t="shared" si="23"/>
        <v>2101.3399999999997</v>
      </c>
      <c r="AM249" s="170">
        <f t="shared" si="23"/>
        <v>2102.04</v>
      </c>
      <c r="AN249" s="170">
        <f t="shared" si="23"/>
        <v>2120.44</v>
      </c>
      <c r="AO249" s="170">
        <f t="shared" si="23"/>
        <v>2093.04</v>
      </c>
      <c r="AP249" s="170">
        <f t="shared" si="23"/>
        <v>2086.44</v>
      </c>
      <c r="AQ249" s="170">
        <f t="shared" si="23"/>
        <v>2134.64</v>
      </c>
      <c r="AR249" s="170">
        <f t="shared" si="23"/>
        <v>2188.2400000000002</v>
      </c>
      <c r="AS249" s="170">
        <f t="shared" si="23"/>
        <v>2187.2400000000002</v>
      </c>
      <c r="AT249" s="170">
        <f t="shared" si="23"/>
        <v>2164.94</v>
      </c>
      <c r="AU249" s="170">
        <f t="shared" si="23"/>
        <v>2137.84</v>
      </c>
      <c r="AV249" s="170">
        <f t="shared" si="23"/>
        <v>2108.64</v>
      </c>
      <c r="AW249" s="170">
        <f t="shared" si="23"/>
        <v>2020.4399999999998</v>
      </c>
      <c r="AX249" s="170">
        <f t="shared" si="23"/>
        <v>2006.74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559" priority="64">
      <formula>$AH11=0</formula>
    </cfRule>
  </conditionalFormatting>
  <conditionalFormatting sqref="B8 M8 S8 AB8">
    <cfRule type="expression" dxfId="1558" priority="117">
      <formula>C$9&lt;8/24</formula>
    </cfRule>
    <cfRule type="expression" dxfId="1557" priority="116">
      <formula>AND(C$9&gt;=8/24,C$9&lt;14/24)</formula>
    </cfRule>
    <cfRule type="expression" dxfId="1556" priority="115">
      <formula>AND(C$9&gt;=14/24,C$9&lt;20/24)</formula>
    </cfRule>
  </conditionalFormatting>
  <conditionalFormatting sqref="B54:C54">
    <cfRule type="expression" dxfId="1555" priority="38">
      <formula>B$9&gt;=20/24</formula>
    </cfRule>
    <cfRule type="expression" dxfId="1554" priority="39">
      <formula>AND(B$9&gt;=14/24,B$9&lt;20/24)</formula>
    </cfRule>
    <cfRule type="expression" dxfId="1553" priority="40">
      <formula>AND(B$9&gt;=8/24,B$9&lt;14/24)</formula>
    </cfRule>
    <cfRule type="expression" dxfId="1552" priority="41">
      <formula>B$9&lt;8/24</formula>
    </cfRule>
  </conditionalFormatting>
  <conditionalFormatting sqref="B54:C66">
    <cfRule type="expression" dxfId="1551" priority="33">
      <formula>B54&gt;$AG54</formula>
    </cfRule>
  </conditionalFormatting>
  <conditionalFormatting sqref="B55:Z60">
    <cfRule type="expression" dxfId="1550" priority="52">
      <formula>AND(B$9&gt;=14/24,B$9&lt;20/24)</formula>
    </cfRule>
    <cfRule type="expression" dxfId="1549" priority="51">
      <formula>B$9&gt;=20/24</formula>
    </cfRule>
    <cfRule type="expression" dxfId="1548" priority="54">
      <formula>B$9&lt;8/24</formula>
    </cfRule>
    <cfRule type="expression" dxfId="1547" priority="53">
      <formula>AND(B$9&gt;=8/24,B$9&lt;14/24)</formula>
    </cfRule>
  </conditionalFormatting>
  <conditionalFormatting sqref="B9:AF45">
    <cfRule type="expression" dxfId="1546" priority="23">
      <formula>B$9&gt;=20/24</formula>
    </cfRule>
    <cfRule type="expression" dxfId="1545" priority="24">
      <formula>AND(B$9&gt;=14/24,B$9&lt;20/24)</formula>
    </cfRule>
    <cfRule type="expression" dxfId="1544" priority="25">
      <formula>AND(B$9&gt;=8/24,B$9&lt;14/24)</formula>
    </cfRule>
    <cfRule type="expression" dxfId="1543" priority="26">
      <formula>B$9&lt;8/24</formula>
    </cfRule>
  </conditionalFormatting>
  <conditionalFormatting sqref="B11:AF46">
    <cfRule type="expression" dxfId="1542" priority="22">
      <formula>B11&gt;$AG11</formula>
    </cfRule>
  </conditionalFormatting>
  <conditionalFormatting sqref="B46:AF46">
    <cfRule type="expression" dxfId="1541" priority="18">
      <formula>B$9&gt;=20/24</formula>
    </cfRule>
    <cfRule type="expression" dxfId="1540" priority="19">
      <formula>AND(B$9&gt;=14/24,B$9&lt;20/24)</formula>
    </cfRule>
    <cfRule type="expression" dxfId="1539" priority="20">
      <formula>AND(B$9&gt;=8/24,B$9&lt;14/24)</formula>
    </cfRule>
    <cfRule type="expression" dxfId="1538" priority="21">
      <formula>B$9&lt;8/24</formula>
    </cfRule>
  </conditionalFormatting>
  <conditionalFormatting sqref="B47:AF47">
    <cfRule type="expression" dxfId="1537" priority="32">
      <formula>B47&gt;$AG47</formula>
    </cfRule>
  </conditionalFormatting>
  <conditionalFormatting sqref="B47:AF49">
    <cfRule type="expression" dxfId="1536" priority="31">
      <formula>B$9&lt;8/24</formula>
    </cfRule>
    <cfRule type="expression" dxfId="1535" priority="28">
      <formula>B$9&gt;=20/24</formula>
    </cfRule>
    <cfRule type="expression" dxfId="1534" priority="29">
      <formula>AND(B$9&gt;=14/24,B$9&lt;20/24)</formula>
    </cfRule>
    <cfRule type="expression" dxfId="1533" priority="30">
      <formula>AND(B$9&gt;=8/24,B$9&lt;14/24)</formula>
    </cfRule>
  </conditionalFormatting>
  <conditionalFormatting sqref="B48:AF53">
    <cfRule type="expression" dxfId="1532" priority="27">
      <formula>B48&gt;$AG48</formula>
    </cfRule>
  </conditionalFormatting>
  <conditionalFormatting sqref="B51:AF53">
    <cfRule type="expression" dxfId="1531" priority="50">
      <formula>B$9&lt;8/24</formula>
    </cfRule>
    <cfRule type="expression" dxfId="1530" priority="49">
      <formula>AND(B$9&gt;=8/24,B$9&lt;14/24)</formula>
    </cfRule>
    <cfRule type="expression" dxfId="1529" priority="47">
      <formula>B$9&gt;=20/24</formula>
    </cfRule>
    <cfRule type="expression" dxfId="1528" priority="48">
      <formula>AND(B$9&gt;=14/24,B$9&lt;20/24)</formula>
    </cfRule>
  </conditionalFormatting>
  <conditionalFormatting sqref="B61:AF66">
    <cfRule type="expression" dxfId="1527" priority="35">
      <formula>AND(B$9&gt;=14/24,B$9&lt;20/24)</formula>
    </cfRule>
    <cfRule type="expression" dxfId="1526" priority="37">
      <formula>B$9&lt;8/24</formula>
    </cfRule>
    <cfRule type="expression" dxfId="1525" priority="36">
      <formula>AND(B$9&gt;=8/24,B$9&lt;14/24)</formula>
    </cfRule>
    <cfRule type="expression" dxfId="1524" priority="34">
      <formula>B$9&gt;=20/24</formula>
    </cfRule>
  </conditionalFormatting>
  <conditionalFormatting sqref="B69:AF71">
    <cfRule type="expression" dxfId="1523" priority="55">
      <formula>B69&gt;$AG69</formula>
    </cfRule>
    <cfRule type="expression" dxfId="1522" priority="56">
      <formula>B$9&gt;=20/24</formula>
    </cfRule>
    <cfRule type="expression" dxfId="1521" priority="57">
      <formula>AND(B$9&gt;=14/24,B$9&lt;20/24)</formula>
    </cfRule>
    <cfRule type="expression" dxfId="1520" priority="58">
      <formula>AND(B$9&gt;=8/24,B$9&lt;14/24)</formula>
    </cfRule>
    <cfRule type="expression" dxfId="1519" priority="59">
      <formula>B$9&lt;8/24</formula>
    </cfRule>
  </conditionalFormatting>
  <conditionalFormatting sqref="B73:AF91">
    <cfRule type="expression" dxfId="1518" priority="2">
      <formula>AND(B$9&gt;=14/24,B$9&lt;20/24)</formula>
    </cfRule>
    <cfRule type="expression" dxfId="1517" priority="3">
      <formula>AND(B$9&gt;=8/24,B$9&lt;14/24)</formula>
    </cfRule>
    <cfRule type="expression" dxfId="1516" priority="4">
      <formula>B$9&lt;8/24</formula>
    </cfRule>
    <cfRule type="expression" dxfId="1515" priority="1">
      <formula>B$9&gt;=20/24</formula>
    </cfRule>
  </conditionalFormatting>
  <conditionalFormatting sqref="B111:AF120">
    <cfRule type="expression" dxfId="1514" priority="17">
      <formula>B$9&lt;8/24</formula>
    </cfRule>
    <cfRule type="expression" dxfId="1513" priority="14">
      <formula>B$9&gt;=20/24</formula>
    </cfRule>
    <cfRule type="expression" dxfId="1512" priority="15">
      <formula>AND(B$9&gt;=14/24,B$9&lt;20/24)</formula>
    </cfRule>
    <cfRule type="expression" dxfId="1511" priority="16">
      <formula>AND(B$9&gt;=8/24,B$9&lt;14/24)</formula>
    </cfRule>
  </conditionalFormatting>
  <conditionalFormatting sqref="B227:AF227 D229:AF230 B229:B235 D231:H231 J231:AF231 D232:AF235 U248:AF248">
    <cfRule type="expression" dxfId="1510" priority="111">
      <formula>B$9&lt;8/24</formula>
    </cfRule>
    <cfRule type="expression" dxfId="1509" priority="109">
      <formula>AND(B$9&gt;=14/24,B$9&lt;20/24)</formula>
    </cfRule>
    <cfRule type="expression" dxfId="1508" priority="108">
      <formula>B$9&gt;=20/24</formula>
    </cfRule>
    <cfRule type="expression" dxfId="1507" priority="110">
      <formula>AND(B$9&gt;=8/24,B$9&lt;14/24)</formula>
    </cfRule>
  </conditionalFormatting>
  <conditionalFormatting sqref="B67:AG68 B72:AG72">
    <cfRule type="expression" dxfId="1506" priority="42">
      <formula>B67&gt;$AG67</formula>
    </cfRule>
  </conditionalFormatting>
  <conditionalFormatting sqref="B72:AG72 B93:AF109">
    <cfRule type="expression" dxfId="1505" priority="43">
      <formula>B$9&gt;=20/24</formula>
    </cfRule>
    <cfRule type="expression" dxfId="1504" priority="46">
      <formula>B$9&lt;8/24</formula>
    </cfRule>
    <cfRule type="expression" dxfId="1503" priority="45">
      <formula>AND(B$9&gt;=8/24,B$9&lt;14/24)</formula>
    </cfRule>
    <cfRule type="expression" dxfId="1502" priority="44">
      <formula>AND(B$9&gt;=14/24,B$9&lt;20/24)</formula>
    </cfRule>
  </conditionalFormatting>
  <conditionalFormatting sqref="D55:AF66">
    <cfRule type="expression" dxfId="1501" priority="5">
      <formula>D55&gt;$AG55</formula>
    </cfRule>
  </conditionalFormatting>
  <conditionalFormatting sqref="D54:AG54">
    <cfRule type="expression" dxfId="1500" priority="80">
      <formula>D$9&lt;8/24</formula>
    </cfRule>
    <cfRule type="expression" dxfId="1499" priority="76">
      <formula>D54&gt;$AG54</formula>
    </cfRule>
    <cfRule type="expression" dxfId="1498" priority="77">
      <formula>D$9&gt;=20/24</formula>
    </cfRule>
    <cfRule type="expression" dxfId="1497" priority="78">
      <formula>AND(D$9&gt;=14/24,D$9&lt;20/24)</formula>
    </cfRule>
    <cfRule type="expression" dxfId="1496" priority="79">
      <formula>AND(D$9&gt;=8/24,D$9&lt;14/24)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495" priority="114">
      <formula>C$9&gt;=20/24</formula>
    </cfRule>
  </conditionalFormatting>
  <conditionalFormatting sqref="S8">
    <cfRule type="expression" dxfId="1494" priority="101">
      <formula>U$9&gt;=20/24</formula>
    </cfRule>
    <cfRule type="expression" dxfId="1493" priority="102">
      <formula>AND(U$9&gt;=14/24,U$9&lt;20/24)</formula>
    </cfRule>
    <cfRule type="expression" dxfId="1492" priority="103">
      <formula>AND(U$9&gt;=8/24,U$9&lt;14/24)</formula>
    </cfRule>
    <cfRule type="expression" dxfId="1491" priority="104">
      <formula>U$9&lt;8/24</formula>
    </cfRule>
  </conditionalFormatting>
  <conditionalFormatting sqref="S55:AF60">
    <cfRule type="expression" dxfId="1490" priority="12">
      <formula>AND(S$9&gt;=8/24,S$9&lt;14/24)</formula>
    </cfRule>
    <cfRule type="expression" dxfId="1489" priority="13">
      <formula>S$9&lt;8/24</formula>
    </cfRule>
    <cfRule type="expression" dxfId="1488" priority="11">
      <formula>AND(S$9&gt;=14/24,S$9&lt;20/24)</formula>
    </cfRule>
    <cfRule type="expression" dxfId="1487" priority="10">
      <formula>S$9&gt;=20/24</formula>
    </cfRule>
  </conditionalFormatting>
  <conditionalFormatting sqref="T248">
    <cfRule type="expression" dxfId="1486" priority="129">
      <formula>AX$9&lt;8/24</formula>
    </cfRule>
    <cfRule type="expression" dxfId="1485" priority="126">
      <formula>AX$9&gt;=20/24</formula>
    </cfRule>
    <cfRule type="expression" dxfId="1484" priority="127">
      <formula>AND(AX$9&gt;=14/24,AX$9&lt;20/24)</formula>
    </cfRule>
    <cfRule type="expression" dxfId="1483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482" priority="97">
      <formula>AD$9&gt;=20/24</formula>
    </cfRule>
    <cfRule type="expression" dxfId="1481" priority="98">
      <formula>AND(AD$9&gt;=14/24,AD$9&lt;20/24)</formula>
    </cfRule>
    <cfRule type="expression" dxfId="1480" priority="99">
      <formula>AND(AD$9&gt;=8/24,AD$9&lt;14/24)</formula>
    </cfRule>
    <cfRule type="expression" dxfId="1479" priority="100">
      <formula>AD$9&lt;8/24</formula>
    </cfRule>
  </conditionalFormatting>
  <conditionalFormatting sqref="AE61:AF66">
    <cfRule type="expression" dxfId="1478" priority="6">
      <formula>AE$9&gt;=20/24</formula>
    </cfRule>
    <cfRule type="expression" dxfId="1477" priority="9">
      <formula>AE$9&lt;8/24</formula>
    </cfRule>
    <cfRule type="expression" dxfId="1476" priority="8">
      <formula>AND(AE$9&gt;=8/24,AE$9&lt;14/24)</formula>
    </cfRule>
    <cfRule type="expression" dxfId="1475" priority="7">
      <formula>AND(AE$9&gt;=14/24,AE$9&lt;20/24)</formula>
    </cfRule>
  </conditionalFormatting>
  <conditionalFormatting sqref="AG50">
    <cfRule type="expression" dxfId="1474" priority="84">
      <formula>AG50&gt;$AG50</formula>
    </cfRule>
  </conditionalFormatting>
  <conditionalFormatting sqref="AG89">
    <cfRule type="expression" dxfId="1473" priority="85">
      <formula>AG$9&gt;=20/24</formula>
    </cfRule>
    <cfRule type="expression" dxfId="1472" priority="86">
      <formula>AND(AG$9&gt;=14/24,AG$9&lt;20/24)</formula>
    </cfRule>
    <cfRule type="expression" dxfId="1471" priority="87">
      <formula>AND(AG$9&gt;=8/24,AG$9&lt;14/24)</formula>
    </cfRule>
    <cfRule type="expression" dxfId="1470" priority="88">
      <formula>AG$9&lt;8/24</formula>
    </cfRule>
  </conditionalFormatting>
  <conditionalFormatting sqref="AG248">
    <cfRule type="expression" dxfId="1469" priority="119">
      <formula>AND(B$9&gt;=14/24,B$9&lt;20/24)</formula>
    </cfRule>
    <cfRule type="expression" dxfId="1468" priority="118">
      <formula>B$9&gt;=20/24</formula>
    </cfRule>
    <cfRule type="expression" dxfId="1467" priority="120">
      <formula>AND(B$9&gt;=8/24,B$9&lt;14/24)</formula>
    </cfRule>
    <cfRule type="expression" dxfId="1466" priority="121">
      <formula>B$9&lt;8/24</formula>
    </cfRule>
  </conditionalFormatting>
  <conditionalFormatting sqref="AH248:AX248">
    <cfRule type="expression" dxfId="1465" priority="122">
      <formula>AG$9&gt;=20/24</formula>
    </cfRule>
    <cfRule type="expression" dxfId="1464" priority="123">
      <formula>AND(AG$9&gt;=14/24,AG$9&lt;20/24)</formula>
    </cfRule>
    <cfRule type="expression" dxfId="1463" priority="124">
      <formula>AND(AG$9&gt;=8/24,AG$9&lt;14/24)</formula>
    </cfRule>
    <cfRule type="expression" dxfId="1462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461" priority="131">
      <formula>AJ$9&gt;=20/24</formula>
    </cfRule>
    <cfRule type="expression" dxfId="1460" priority="132">
      <formula>AND(AJ$9&gt;=14/24,AJ$9&lt;20/24)</formula>
    </cfRule>
    <cfRule type="expression" dxfId="1459" priority="133">
      <formula>AND(AJ$9&gt;=8/24,AJ$9&lt;14/24)</formula>
    </cfRule>
    <cfRule type="expression" dxfId="1458" priority="134">
      <formula>AJ$9&lt;8/24</formula>
    </cfRule>
  </conditionalFormatting>
  <conditionalFormatting sqref="AL80:AN80 AL86:AN86">
    <cfRule type="expression" dxfId="1457" priority="72">
      <formula>AL$9&gt;=20/24</formula>
    </cfRule>
    <cfRule type="expression" dxfId="1456" priority="73">
      <formula>AND(AL$9&gt;=14/24,AL$9&lt;20/24)</formula>
    </cfRule>
    <cfRule type="expression" dxfId="1455" priority="74">
      <formula>AND(AL$9&gt;=8/24,AL$9&lt;14/24)</formula>
    </cfRule>
    <cfRule type="expression" dxfId="1454" priority="75">
      <formula>AL$9&lt;8/24</formula>
    </cfRule>
  </conditionalFormatting>
  <conditionalFormatting sqref="AN81:AN84">
    <cfRule type="expression" dxfId="1453" priority="68">
      <formula>AN$9&gt;=20/24</formula>
    </cfRule>
    <cfRule type="expression" dxfId="1452" priority="69">
      <formula>AND(AN$9&gt;=14/24,AN$9&lt;20/24)</formula>
    </cfRule>
    <cfRule type="expression" dxfId="1451" priority="70">
      <formula>AND(AN$9&gt;=8/24,AN$9&lt;14/24)</formula>
    </cfRule>
    <cfRule type="expression" dxfId="1450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0F28-4F05-4031-9AC5-16F313C3236B}">
  <sheetPr codeName="Sheet26"/>
  <dimension ref="A1:CJ281"/>
  <sheetViews>
    <sheetView workbookViewId="0">
      <pane xSplit="1" ySplit="10" topLeftCell="B10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D128" sqref="AD128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2080/05/22</v>
      </c>
      <c r="C4" s="196"/>
      <c r="D4" s="196"/>
      <c r="E4" s="197" t="str">
        <f ca="1">"2080/"&amp;"05/"&amp;INT(MID(CELL("filename",G6),FIND("]",CELL("filename",G6))+1,200))</f>
        <v>2080/05/22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35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2070MW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Load=1943</v>
      </c>
      <c r="B7" s="35">
        <f t="shared" ref="B7:AF7" si="1">B91</f>
        <v>2027.9399999999998</v>
      </c>
      <c r="C7" s="35">
        <f t="shared" si="1"/>
        <v>2044.1399999999999</v>
      </c>
      <c r="D7" s="35">
        <f t="shared" si="1"/>
        <v>2028.74</v>
      </c>
      <c r="E7" s="35">
        <f t="shared" si="1"/>
        <v>2024.6399999999999</v>
      </c>
      <c r="F7" s="35">
        <f t="shared" si="1"/>
        <v>2017.3400000000001</v>
      </c>
      <c r="G7" s="35">
        <f t="shared" si="1"/>
        <v>2026.24</v>
      </c>
      <c r="H7" s="35">
        <f t="shared" si="1"/>
        <v>2032.84</v>
      </c>
      <c r="I7" s="35">
        <f t="shared" si="1"/>
        <v>1995.3400000000001</v>
      </c>
      <c r="J7" s="35">
        <f t="shared" si="1"/>
        <v>2025.54</v>
      </c>
      <c r="K7" s="35">
        <f t="shared" si="1"/>
        <v>2057.84</v>
      </c>
      <c r="L7" s="35">
        <f t="shared" si="1"/>
        <v>2058.94</v>
      </c>
      <c r="M7" s="35">
        <f t="shared" si="1"/>
        <v>2069.6400000000003</v>
      </c>
      <c r="N7" s="35">
        <f>N91</f>
        <v>2027.2400000000002</v>
      </c>
      <c r="O7" s="35">
        <f t="shared" si="1"/>
        <v>1951.8400000000001</v>
      </c>
      <c r="P7" s="35">
        <f t="shared" si="1"/>
        <v>2017.1400000000003</v>
      </c>
      <c r="Q7" s="35">
        <f t="shared" si="1"/>
        <v>1986.1400000000003</v>
      </c>
      <c r="R7" s="35">
        <f t="shared" si="1"/>
        <v>2011.1400000000003</v>
      </c>
      <c r="S7" s="35">
        <f t="shared" si="1"/>
        <v>2043.3400000000001</v>
      </c>
      <c r="T7" s="35">
        <f t="shared" si="1"/>
        <v>2038.2400000000002</v>
      </c>
      <c r="U7" s="35">
        <f t="shared" si="1"/>
        <v>2038.2400000000002</v>
      </c>
      <c r="V7" s="35">
        <f t="shared" si="1"/>
        <v>1947.1399999999999</v>
      </c>
      <c r="W7" s="35">
        <f t="shared" si="1"/>
        <v>1943.1399999999999</v>
      </c>
      <c r="X7" s="35">
        <f t="shared" si="1"/>
        <v>2009.84</v>
      </c>
      <c r="Y7" s="35">
        <f t="shared" si="1"/>
        <v>2038.94</v>
      </c>
      <c r="Z7" s="35">
        <f t="shared" si="1"/>
        <v>2154.5299999999997</v>
      </c>
      <c r="AA7" s="35">
        <f t="shared" si="1"/>
        <v>2163.0299999999997</v>
      </c>
      <c r="AB7" s="35">
        <f t="shared" si="1"/>
        <v>2127.0299999999997</v>
      </c>
      <c r="AC7" s="35">
        <f t="shared" si="1"/>
        <v>2160.9299999999998</v>
      </c>
      <c r="AD7" s="35">
        <f t="shared" si="1"/>
        <v>2086.83</v>
      </c>
      <c r="AE7" s="35">
        <f t="shared" si="1"/>
        <v>2081.83</v>
      </c>
      <c r="AF7" s="35">
        <f t="shared" si="1"/>
        <v>2077.83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86.5</v>
      </c>
      <c r="K11" s="45">
        <v>86.5</v>
      </c>
      <c r="L11" s="45">
        <v>86.5</v>
      </c>
      <c r="M11" s="45">
        <v>86.5</v>
      </c>
      <c r="N11" s="45">
        <v>86.5</v>
      </c>
      <c r="O11" s="45">
        <v>86.5</v>
      </c>
      <c r="P11" s="45">
        <v>86.5</v>
      </c>
      <c r="Q11" s="45">
        <v>86.5</v>
      </c>
      <c r="R11" s="45">
        <v>86.5</v>
      </c>
      <c r="S11" s="45">
        <v>89.9</v>
      </c>
      <c r="T11" s="45">
        <v>89.9</v>
      </c>
      <c r="U11" s="45">
        <v>89.9</v>
      </c>
      <c r="V11" s="45">
        <v>89.9</v>
      </c>
      <c r="W11" s="45">
        <v>89.9</v>
      </c>
      <c r="X11" s="45">
        <v>89.9</v>
      </c>
      <c r="Y11" s="45">
        <v>89.9</v>
      </c>
      <c r="Z11" s="45">
        <v>90.1</v>
      </c>
      <c r="AA11" s="45">
        <v>90.1</v>
      </c>
      <c r="AB11" s="45">
        <v>90.1</v>
      </c>
      <c r="AC11" s="45">
        <v>90.1</v>
      </c>
      <c r="AD11" s="45">
        <v>87</v>
      </c>
      <c r="AE11" s="45">
        <v>87</v>
      </c>
      <c r="AF11" s="45">
        <v>87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86.5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9</v>
      </c>
      <c r="L12" s="45">
        <v>9</v>
      </c>
      <c r="M12" s="45">
        <v>9</v>
      </c>
      <c r="N12" s="45">
        <v>0</v>
      </c>
      <c r="O12" s="45">
        <v>0</v>
      </c>
      <c r="P12" s="45">
        <v>0</v>
      </c>
      <c r="Q12" s="45">
        <v>0</v>
      </c>
      <c r="R12" s="45">
        <v>8</v>
      </c>
      <c r="S12" s="45">
        <v>13</v>
      </c>
      <c r="T12" s="45">
        <v>13</v>
      </c>
      <c r="U12" s="45">
        <v>13</v>
      </c>
      <c r="V12" s="45">
        <v>0</v>
      </c>
      <c r="W12" s="45">
        <v>0</v>
      </c>
      <c r="X12" s="45">
        <v>0</v>
      </c>
      <c r="Y12" s="45">
        <v>0</v>
      </c>
      <c r="Z12" s="45">
        <v>13</v>
      </c>
      <c r="AA12" s="45">
        <v>13</v>
      </c>
      <c r="AB12" s="45">
        <v>13</v>
      </c>
      <c r="AC12" s="45">
        <v>13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0</v>
      </c>
      <c r="C13" s="45">
        <v>54.4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50.3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45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50.6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40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22</v>
      </c>
      <c r="J17" s="45">
        <v>22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29</v>
      </c>
      <c r="AA17" s="45">
        <v>29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29</v>
      </c>
      <c r="AI17" s="48">
        <f t="shared" si="3"/>
        <v>22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5.2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15</v>
      </c>
      <c r="L20" s="45">
        <v>15</v>
      </c>
      <c r="M20" s="45">
        <v>15</v>
      </c>
      <c r="N20" s="45">
        <v>0</v>
      </c>
      <c r="O20" s="45">
        <v>0</v>
      </c>
      <c r="P20" s="45">
        <v>0</v>
      </c>
      <c r="Q20" s="45">
        <v>0</v>
      </c>
      <c r="R20" s="45">
        <v>5</v>
      </c>
      <c r="S20" s="45">
        <v>10.9</v>
      </c>
      <c r="T20" s="45">
        <v>5.8</v>
      </c>
      <c r="U20" s="45">
        <v>5.8</v>
      </c>
      <c r="V20" s="45">
        <v>0</v>
      </c>
      <c r="W20" s="45">
        <v>0</v>
      </c>
      <c r="X20" s="45">
        <v>0</v>
      </c>
      <c r="Y20" s="45">
        <v>0</v>
      </c>
      <c r="Z20" s="45">
        <v>20</v>
      </c>
      <c r="AA20" s="45">
        <v>25</v>
      </c>
      <c r="AB20" s="45">
        <v>15</v>
      </c>
      <c r="AC20" s="45">
        <v>15</v>
      </c>
      <c r="AD20" s="45">
        <v>0</v>
      </c>
      <c r="AE20" s="45">
        <v>0</v>
      </c>
      <c r="AF20" s="45">
        <v>0</v>
      </c>
      <c r="AG20" s="51">
        <v>30</v>
      </c>
      <c r="AH20" s="47">
        <f t="shared" si="2"/>
        <v>25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</v>
      </c>
      <c r="C21" s="45">
        <v>21</v>
      </c>
      <c r="D21" s="45">
        <v>21</v>
      </c>
      <c r="E21" s="45">
        <v>21</v>
      </c>
      <c r="F21" s="45">
        <v>21</v>
      </c>
      <c r="G21" s="45">
        <v>21</v>
      </c>
      <c r="H21" s="45">
        <v>21</v>
      </c>
      <c r="I21" s="45">
        <v>21</v>
      </c>
      <c r="J21" s="45">
        <v>21</v>
      </c>
      <c r="K21" s="45">
        <v>21</v>
      </c>
      <c r="L21" s="45">
        <v>21</v>
      </c>
      <c r="M21" s="45">
        <v>21</v>
      </c>
      <c r="N21" s="45">
        <v>21</v>
      </c>
      <c r="O21" s="45">
        <v>21</v>
      </c>
      <c r="P21" s="45">
        <v>21</v>
      </c>
      <c r="Q21" s="45">
        <v>21</v>
      </c>
      <c r="R21" s="45">
        <v>21</v>
      </c>
      <c r="S21" s="45">
        <v>25</v>
      </c>
      <c r="T21" s="45">
        <v>25</v>
      </c>
      <c r="U21" s="45">
        <v>25</v>
      </c>
      <c r="V21" s="45">
        <v>25</v>
      </c>
      <c r="W21" s="45">
        <v>25</v>
      </c>
      <c r="X21" s="45">
        <v>25</v>
      </c>
      <c r="Y21" s="45">
        <v>25</v>
      </c>
      <c r="Z21" s="45">
        <v>26</v>
      </c>
      <c r="AA21" s="45">
        <v>26</v>
      </c>
      <c r="AB21" s="45">
        <v>26</v>
      </c>
      <c r="AC21" s="45">
        <v>26</v>
      </c>
      <c r="AD21" s="45">
        <v>26</v>
      </c>
      <c r="AE21" s="45">
        <v>26</v>
      </c>
      <c r="AF21" s="45">
        <v>26</v>
      </c>
      <c r="AG21" s="49">
        <v>24.2</v>
      </c>
      <c r="AH21" s="47">
        <f t="shared" si="2"/>
        <v>26</v>
      </c>
      <c r="AI21" s="48">
        <f t="shared" si="3"/>
        <v>21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21.1</v>
      </c>
      <c r="C22" s="45">
        <v>21.1</v>
      </c>
      <c r="D22" s="45">
        <v>21.1</v>
      </c>
      <c r="E22" s="45">
        <v>21.1</v>
      </c>
      <c r="F22" s="45">
        <v>21.1</v>
      </c>
      <c r="G22" s="45">
        <v>21.1</v>
      </c>
      <c r="H22" s="45">
        <v>21.1</v>
      </c>
      <c r="I22" s="45">
        <v>21.1</v>
      </c>
      <c r="J22" s="45">
        <v>21.1</v>
      </c>
      <c r="K22" s="45">
        <v>21.1</v>
      </c>
      <c r="L22" s="45">
        <v>21.1</v>
      </c>
      <c r="M22" s="45">
        <v>21.1</v>
      </c>
      <c r="N22" s="45">
        <v>21.1</v>
      </c>
      <c r="O22" s="45">
        <v>21.1</v>
      </c>
      <c r="P22" s="45">
        <v>21.1</v>
      </c>
      <c r="Q22" s="45">
        <v>21.1</v>
      </c>
      <c r="R22" s="45">
        <v>21.1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21.1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4</v>
      </c>
      <c r="L23" s="45">
        <v>4</v>
      </c>
      <c r="M23" s="45">
        <v>4</v>
      </c>
      <c r="N23" s="45">
        <v>0</v>
      </c>
      <c r="O23" s="45">
        <v>0</v>
      </c>
      <c r="P23" s="45">
        <v>0</v>
      </c>
      <c r="Q23" s="45">
        <v>0</v>
      </c>
      <c r="R23" s="45">
        <v>3</v>
      </c>
      <c r="S23" s="45">
        <v>9</v>
      </c>
      <c r="T23" s="45">
        <v>9</v>
      </c>
      <c r="U23" s="45">
        <v>9</v>
      </c>
      <c r="V23" s="45">
        <v>0</v>
      </c>
      <c r="W23" s="45">
        <v>0</v>
      </c>
      <c r="X23" s="45">
        <v>0</v>
      </c>
      <c r="Y23" s="45">
        <v>0</v>
      </c>
      <c r="Z23" s="45">
        <v>27</v>
      </c>
      <c r="AA23" s="45">
        <v>27</v>
      </c>
      <c r="AB23" s="45">
        <v>13.5</v>
      </c>
      <c r="AC23" s="45">
        <v>13.5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26.1</v>
      </c>
      <c r="L24" s="45">
        <v>26.1</v>
      </c>
      <c r="M24" s="45">
        <v>26.1</v>
      </c>
      <c r="N24" s="45">
        <v>26.1</v>
      </c>
      <c r="O24" s="45">
        <v>26.1</v>
      </c>
      <c r="P24" s="45">
        <v>26.1</v>
      </c>
      <c r="Q24" s="45">
        <v>26.1</v>
      </c>
      <c r="R24" s="45">
        <v>26.1</v>
      </c>
      <c r="S24" s="45">
        <v>26.1</v>
      </c>
      <c r="T24" s="45">
        <v>26.1</v>
      </c>
      <c r="U24" s="45">
        <v>26.1</v>
      </c>
      <c r="V24" s="45">
        <v>26.1</v>
      </c>
      <c r="W24" s="45">
        <v>26.1</v>
      </c>
      <c r="X24" s="45">
        <v>26.1</v>
      </c>
      <c r="Y24" s="45">
        <v>26.1</v>
      </c>
      <c r="Z24" s="45">
        <v>26.1</v>
      </c>
      <c r="AA24" s="45">
        <v>26.1</v>
      </c>
      <c r="AB24" s="45">
        <v>26.1</v>
      </c>
      <c r="AC24" s="45">
        <v>26.1</v>
      </c>
      <c r="AD24" s="45">
        <v>26.1</v>
      </c>
      <c r="AE24" s="45">
        <v>26.1</v>
      </c>
      <c r="AF24" s="45">
        <v>26.1</v>
      </c>
      <c r="AG24" s="49">
        <v>25</v>
      </c>
      <c r="AH24" s="47">
        <f t="shared" si="2"/>
        <v>26.1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18</v>
      </c>
      <c r="F26" s="45">
        <v>18</v>
      </c>
      <c r="G26" s="45">
        <v>18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18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3</v>
      </c>
      <c r="S27" s="45">
        <v>8</v>
      </c>
      <c r="T27" s="45">
        <v>8</v>
      </c>
      <c r="U27" s="45">
        <v>8</v>
      </c>
      <c r="V27" s="45">
        <v>0</v>
      </c>
      <c r="W27" s="45">
        <v>0</v>
      </c>
      <c r="X27" s="45">
        <v>0</v>
      </c>
      <c r="Y27" s="45">
        <v>0</v>
      </c>
      <c r="Z27" s="45">
        <v>25</v>
      </c>
      <c r="AA27" s="45">
        <v>25</v>
      </c>
      <c r="AB27" s="45">
        <v>12.5</v>
      </c>
      <c r="AC27" s="45">
        <v>12.5</v>
      </c>
      <c r="AD27" s="45">
        <v>0</v>
      </c>
      <c r="AE27" s="45">
        <v>0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0</v>
      </c>
      <c r="C32" s="45">
        <v>0</v>
      </c>
      <c r="D32" s="45">
        <v>0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4</v>
      </c>
      <c r="L33" s="45">
        <v>4</v>
      </c>
      <c r="M33" s="45">
        <v>4</v>
      </c>
      <c r="N33" s="45">
        <v>0</v>
      </c>
      <c r="O33" s="45">
        <v>0</v>
      </c>
      <c r="P33" s="45">
        <v>0</v>
      </c>
      <c r="Q33" s="45">
        <v>0</v>
      </c>
      <c r="R33" s="45">
        <v>4</v>
      </c>
      <c r="S33" s="45">
        <v>7</v>
      </c>
      <c r="T33" s="45">
        <v>7</v>
      </c>
      <c r="U33" s="45">
        <v>7</v>
      </c>
      <c r="V33" s="45">
        <v>7</v>
      </c>
      <c r="W33" s="45">
        <v>7</v>
      </c>
      <c r="X33" s="45">
        <v>7</v>
      </c>
      <c r="Y33" s="45">
        <v>7</v>
      </c>
      <c r="Z33" s="45">
        <v>8</v>
      </c>
      <c r="AA33" s="45">
        <v>8</v>
      </c>
      <c r="AB33" s="45">
        <v>8</v>
      </c>
      <c r="AC33" s="45">
        <v>8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8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4</v>
      </c>
      <c r="L34" s="45">
        <v>4</v>
      </c>
      <c r="M34" s="45">
        <v>4</v>
      </c>
      <c r="N34" s="45">
        <v>0</v>
      </c>
      <c r="O34" s="45">
        <v>0</v>
      </c>
      <c r="P34" s="45">
        <v>0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0</v>
      </c>
      <c r="W34" s="45">
        <v>0</v>
      </c>
      <c r="X34" s="45">
        <v>5</v>
      </c>
      <c r="Y34" s="45">
        <v>5</v>
      </c>
      <c r="Z34" s="45">
        <v>5</v>
      </c>
      <c r="AA34" s="45">
        <v>5</v>
      </c>
      <c r="AB34" s="45">
        <v>5</v>
      </c>
      <c r="AC34" s="45">
        <v>5</v>
      </c>
      <c r="AD34" s="45">
        <v>4</v>
      </c>
      <c r="AE34" s="45">
        <v>4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15.6</v>
      </c>
      <c r="C35" s="45">
        <v>15.6</v>
      </c>
      <c r="D35" s="45">
        <v>15.6</v>
      </c>
      <c r="E35" s="45">
        <v>15.6</v>
      </c>
      <c r="F35" s="45">
        <v>15.6</v>
      </c>
      <c r="G35" s="45">
        <v>15.6</v>
      </c>
      <c r="H35" s="45">
        <v>15.6</v>
      </c>
      <c r="I35" s="45">
        <v>15.6</v>
      </c>
      <c r="J35" s="45">
        <v>15.6</v>
      </c>
      <c r="K35" s="45">
        <v>15.6</v>
      </c>
      <c r="L35" s="45">
        <v>15.6</v>
      </c>
      <c r="M35" s="45">
        <v>15.6</v>
      </c>
      <c r="N35" s="45">
        <v>15.6</v>
      </c>
      <c r="O35" s="45">
        <v>15.6</v>
      </c>
      <c r="P35" s="45">
        <v>15.6</v>
      </c>
      <c r="Q35" s="45">
        <v>15.6</v>
      </c>
      <c r="R35" s="45">
        <v>15.6</v>
      </c>
      <c r="S35" s="45">
        <v>15.6</v>
      </c>
      <c r="T35" s="45">
        <v>15.6</v>
      </c>
      <c r="U35" s="45">
        <v>15.6</v>
      </c>
      <c r="V35" s="45">
        <v>15.6</v>
      </c>
      <c r="W35" s="45">
        <v>15.6</v>
      </c>
      <c r="X35" s="45">
        <v>15.6</v>
      </c>
      <c r="Y35" s="45">
        <v>15.6</v>
      </c>
      <c r="Z35" s="45">
        <v>15.6</v>
      </c>
      <c r="AA35" s="45">
        <v>15.6</v>
      </c>
      <c r="AB35" s="45">
        <v>15.6</v>
      </c>
      <c r="AC35" s="45">
        <v>15.6</v>
      </c>
      <c r="AD35" s="45">
        <v>15.6</v>
      </c>
      <c r="AE35" s="45">
        <v>15.6</v>
      </c>
      <c r="AF35" s="45">
        <v>15.6</v>
      </c>
      <c r="AG35" s="49">
        <v>14.9</v>
      </c>
      <c r="AH35" s="47">
        <f t="shared" si="2"/>
        <v>15.6</v>
      </c>
      <c r="AI35" s="48">
        <f t="shared" si="3"/>
        <v>15.6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2</v>
      </c>
      <c r="F39" s="45">
        <v>2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2</v>
      </c>
      <c r="M39" s="45">
        <v>2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12</v>
      </c>
      <c r="AA39" s="45">
        <v>12</v>
      </c>
      <c r="AB39" s="45">
        <v>12</v>
      </c>
      <c r="AC39" s="45">
        <v>12</v>
      </c>
      <c r="AD39" s="45">
        <v>0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2</v>
      </c>
      <c r="S40" s="45">
        <v>2</v>
      </c>
      <c r="T40" s="45">
        <v>2</v>
      </c>
      <c r="U40" s="45">
        <v>2</v>
      </c>
      <c r="V40" s="45">
        <v>2</v>
      </c>
      <c r="W40" s="45">
        <v>2</v>
      </c>
      <c r="X40" s="45">
        <v>2</v>
      </c>
      <c r="Y40" s="45">
        <v>2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3.5</v>
      </c>
      <c r="C41" s="45">
        <v>3.5</v>
      </c>
      <c r="D41" s="45">
        <v>3.5</v>
      </c>
      <c r="E41" s="45">
        <v>3.5</v>
      </c>
      <c r="F41" s="45">
        <v>3.5</v>
      </c>
      <c r="G41" s="45">
        <v>3.5</v>
      </c>
      <c r="H41" s="45">
        <v>3.5</v>
      </c>
      <c r="I41" s="45">
        <v>3.5</v>
      </c>
      <c r="J41" s="45">
        <v>3.5</v>
      </c>
      <c r="K41" s="45">
        <v>3.5</v>
      </c>
      <c r="L41" s="45">
        <v>3.5</v>
      </c>
      <c r="M41" s="45">
        <v>3.5</v>
      </c>
      <c r="N41" s="45">
        <v>3.5</v>
      </c>
      <c r="O41" s="45">
        <v>3.5</v>
      </c>
      <c r="P41" s="45">
        <v>3.5</v>
      </c>
      <c r="Q41" s="45">
        <v>3.5</v>
      </c>
      <c r="R41" s="45">
        <v>3.5</v>
      </c>
      <c r="S41" s="45">
        <v>3.5</v>
      </c>
      <c r="T41" s="45">
        <v>3.5</v>
      </c>
      <c r="U41" s="45">
        <v>3.5</v>
      </c>
      <c r="V41" s="45">
        <v>3.5</v>
      </c>
      <c r="W41" s="45">
        <v>3.5</v>
      </c>
      <c r="X41" s="45">
        <v>3.5</v>
      </c>
      <c r="Y41" s="45">
        <v>3.5</v>
      </c>
      <c r="Z41" s="45">
        <v>3.5</v>
      </c>
      <c r="AA41" s="45">
        <v>7</v>
      </c>
      <c r="AB41" s="45">
        <v>7</v>
      </c>
      <c r="AC41" s="45">
        <v>7</v>
      </c>
      <c r="AD41" s="45">
        <v>7</v>
      </c>
      <c r="AE41" s="45">
        <v>7</v>
      </c>
      <c r="AF41" s="45">
        <v>7</v>
      </c>
      <c r="AG41" s="49">
        <v>12</v>
      </c>
      <c r="AH41" s="47">
        <f t="shared" si="2"/>
        <v>7</v>
      </c>
      <c r="AI41" s="48">
        <f t="shared" si="3"/>
        <v>3.5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f>33.4+79.8</f>
        <v>113.19999999999999</v>
      </c>
      <c r="C49" s="56">
        <f>35+85.4</f>
        <v>120.4</v>
      </c>
      <c r="D49" s="56">
        <f>35.5+87.3</f>
        <v>122.8</v>
      </c>
      <c r="E49" s="58">
        <f>87.5+35.7</f>
        <v>123.2</v>
      </c>
      <c r="F49" s="58">
        <f>87.6+35.6</f>
        <v>123.19999999999999</v>
      </c>
      <c r="G49" s="58">
        <f>87.1+35.5</f>
        <v>122.6</v>
      </c>
      <c r="H49" s="58">
        <f>86.2+35.1</f>
        <v>121.30000000000001</v>
      </c>
      <c r="I49" s="58">
        <f>85.5+34.9</f>
        <v>120.4</v>
      </c>
      <c r="J49" s="58">
        <f>85.2+34.9</f>
        <v>120.1</v>
      </c>
      <c r="K49" s="58">
        <f>84.9+34.8</f>
        <v>119.7</v>
      </c>
      <c r="L49" s="58">
        <f t="shared" ref="L49:R49" si="4">82.3+31.5</f>
        <v>113.8</v>
      </c>
      <c r="M49" s="58">
        <f t="shared" si="4"/>
        <v>113.8</v>
      </c>
      <c r="N49" s="58">
        <f t="shared" si="4"/>
        <v>113.8</v>
      </c>
      <c r="O49" s="58">
        <f t="shared" si="4"/>
        <v>113.8</v>
      </c>
      <c r="P49" s="58">
        <f t="shared" si="4"/>
        <v>113.8</v>
      </c>
      <c r="Q49" s="58">
        <f t="shared" si="4"/>
        <v>113.8</v>
      </c>
      <c r="R49" s="58">
        <f t="shared" si="4"/>
        <v>113.8</v>
      </c>
      <c r="S49" s="58">
        <v>120</v>
      </c>
      <c r="T49" s="58">
        <f t="shared" ref="T49:Y49" si="5">34.7+85.7</f>
        <v>120.4</v>
      </c>
      <c r="U49" s="58">
        <f t="shared" si="5"/>
        <v>120.4</v>
      </c>
      <c r="V49" s="58">
        <f t="shared" si="5"/>
        <v>120.4</v>
      </c>
      <c r="W49" s="58">
        <f t="shared" si="5"/>
        <v>120.4</v>
      </c>
      <c r="X49" s="58">
        <f t="shared" si="5"/>
        <v>120.4</v>
      </c>
      <c r="Y49" s="58">
        <f t="shared" si="5"/>
        <v>120.4</v>
      </c>
      <c r="Z49" s="56">
        <v>113.2</v>
      </c>
      <c r="AA49" s="56">
        <v>112</v>
      </c>
      <c r="AB49" s="56">
        <v>112</v>
      </c>
      <c r="AC49" s="56">
        <v>118.8</v>
      </c>
      <c r="AD49" s="56">
        <v>118.8</v>
      </c>
      <c r="AE49" s="56">
        <v>118.8</v>
      </c>
      <c r="AF49" s="56">
        <v>121</v>
      </c>
      <c r="AG49" s="54">
        <v>240</v>
      </c>
      <c r="AH49" s="47">
        <f t="shared" si="2"/>
        <v>123.2</v>
      </c>
      <c r="AI49" s="48">
        <f t="shared" si="3"/>
        <v>112</v>
      </c>
      <c r="AK49" s="50"/>
    </row>
    <row r="50" spans="1:41" ht="15.75" thickBot="1" x14ac:dyDescent="0.3">
      <c r="A50" s="59" t="s">
        <v>58</v>
      </c>
      <c r="B50" s="60">
        <v>1085.0999999999999</v>
      </c>
      <c r="C50" s="60">
        <v>1085.0999999999999</v>
      </c>
      <c r="D50" s="60">
        <v>1085.0999999999999</v>
      </c>
      <c r="E50" s="60">
        <f t="shared" ref="E50:AF50" si="6">SUM(E11:E48)</f>
        <v>1083.0999999999999</v>
      </c>
      <c r="F50" s="60">
        <f t="shared" si="6"/>
        <v>1083.0999999999999</v>
      </c>
      <c r="G50" s="60">
        <f t="shared" si="6"/>
        <v>1083.0999999999999</v>
      </c>
      <c r="H50" s="60">
        <f t="shared" si="6"/>
        <v>1090.0999999999999</v>
      </c>
      <c r="I50" s="60">
        <f t="shared" si="6"/>
        <v>1084.0999999999999</v>
      </c>
      <c r="J50" s="60">
        <f t="shared" si="6"/>
        <v>1080.5999999999999</v>
      </c>
      <c r="K50" s="60">
        <f t="shared" si="6"/>
        <v>1112.2</v>
      </c>
      <c r="L50" s="60">
        <f t="shared" si="6"/>
        <v>1112.2</v>
      </c>
      <c r="M50" s="60">
        <f t="shared" si="6"/>
        <v>1122.9000000000001</v>
      </c>
      <c r="N50" s="60">
        <f t="shared" si="6"/>
        <v>1084.9000000000001</v>
      </c>
      <c r="O50" s="60">
        <f t="shared" si="6"/>
        <v>1084.9000000000001</v>
      </c>
      <c r="P50" s="60">
        <f t="shared" si="6"/>
        <v>1084.9000000000001</v>
      </c>
      <c r="Q50" s="60">
        <f>SUM(Q11:Q48)</f>
        <v>1088.9000000000001</v>
      </c>
      <c r="R50" s="60">
        <f>SUM(R11:R48)</f>
        <v>1113.9000000000001</v>
      </c>
      <c r="S50" s="60">
        <f t="shared" si="6"/>
        <v>1153.0999999999999</v>
      </c>
      <c r="T50" s="60">
        <f t="shared" si="6"/>
        <v>1148</v>
      </c>
      <c r="U50" s="60">
        <f t="shared" si="6"/>
        <v>1148</v>
      </c>
      <c r="V50" s="60">
        <f t="shared" si="6"/>
        <v>1108.2</v>
      </c>
      <c r="W50" s="60">
        <f t="shared" si="6"/>
        <v>1108.2</v>
      </c>
      <c r="X50" s="60">
        <f t="shared" si="6"/>
        <v>1113.2</v>
      </c>
      <c r="Y50" s="60">
        <f t="shared" si="6"/>
        <v>1113.2</v>
      </c>
      <c r="Z50" s="60">
        <f t="shared" si="6"/>
        <v>1220.2</v>
      </c>
      <c r="AA50" s="60">
        <f t="shared" si="6"/>
        <v>1228.7</v>
      </c>
      <c r="AB50" s="60">
        <f t="shared" si="6"/>
        <v>1192.7</v>
      </c>
      <c r="AC50" s="60">
        <f t="shared" si="6"/>
        <v>1192.7</v>
      </c>
      <c r="AD50" s="60">
        <f t="shared" si="6"/>
        <v>1118.6000000000001</v>
      </c>
      <c r="AE50" s="60">
        <f t="shared" si="6"/>
        <v>1118.6000000000001</v>
      </c>
      <c r="AF50" s="60">
        <f t="shared" si="6"/>
        <v>1114.6000000000001</v>
      </c>
      <c r="AG50" s="61">
        <f>SUM(AG13:AG48)</f>
        <v>922.14</v>
      </c>
      <c r="AH50" s="47">
        <f t="shared" si="2"/>
        <v>1228.7</v>
      </c>
      <c r="AI50" s="48">
        <f t="shared" si="3"/>
        <v>1080.5999999999999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55</v>
      </c>
      <c r="L52" s="64">
        <v>55</v>
      </c>
      <c r="M52" s="64">
        <v>55</v>
      </c>
      <c r="N52" s="64">
        <v>55</v>
      </c>
      <c r="O52" s="64">
        <v>55</v>
      </c>
      <c r="P52" s="64">
        <v>55</v>
      </c>
      <c r="Q52" s="64">
        <v>55</v>
      </c>
      <c r="R52" s="64">
        <v>55</v>
      </c>
      <c r="S52" s="64">
        <v>48</v>
      </c>
      <c r="T52" s="64">
        <v>48</v>
      </c>
      <c r="U52" s="64">
        <v>48</v>
      </c>
      <c r="V52" s="64">
        <v>48</v>
      </c>
      <c r="W52" s="64">
        <v>48</v>
      </c>
      <c r="X52" s="64">
        <v>48</v>
      </c>
      <c r="Y52" s="64">
        <v>48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55</v>
      </c>
      <c r="AF52" s="64">
        <v>55</v>
      </c>
      <c r="AG52" s="54">
        <v>60</v>
      </c>
      <c r="AH52" s="47">
        <f t="shared" si="2"/>
        <v>60</v>
      </c>
      <c r="AI52" s="48">
        <f t="shared" si="3"/>
        <v>48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v>538.5</v>
      </c>
      <c r="C54" s="60">
        <f t="shared" ref="C54:AG54" si="7">SUM(C51:C53)</f>
        <v>533.5</v>
      </c>
      <c r="D54" s="60">
        <f>SUM(D51:D53)</f>
        <v>533.4</v>
      </c>
      <c r="E54" s="60">
        <f t="shared" si="7"/>
        <v>533.4</v>
      </c>
      <c r="F54" s="60">
        <f t="shared" si="7"/>
        <v>533.4</v>
      </c>
      <c r="G54" s="60">
        <f t="shared" si="7"/>
        <v>533.4</v>
      </c>
      <c r="H54" s="60">
        <f t="shared" si="7"/>
        <v>533.4</v>
      </c>
      <c r="I54" s="60">
        <f t="shared" si="7"/>
        <v>533.4</v>
      </c>
      <c r="J54" s="60">
        <f t="shared" si="7"/>
        <v>533.4</v>
      </c>
      <c r="K54" s="60">
        <f t="shared" si="7"/>
        <v>533.4</v>
      </c>
      <c r="L54" s="60">
        <f t="shared" si="7"/>
        <v>533.4</v>
      </c>
      <c r="M54" s="60">
        <f t="shared" si="7"/>
        <v>533.4</v>
      </c>
      <c r="N54" s="60">
        <f t="shared" si="7"/>
        <v>533.4</v>
      </c>
      <c r="O54" s="60">
        <f t="shared" si="7"/>
        <v>533.4</v>
      </c>
      <c r="P54" s="60">
        <f>SUM(P51:P53)</f>
        <v>533.4</v>
      </c>
      <c r="Q54" s="60">
        <f t="shared" si="7"/>
        <v>533.4</v>
      </c>
      <c r="R54" s="60">
        <f t="shared" si="7"/>
        <v>533.4</v>
      </c>
      <c r="S54" s="60">
        <f t="shared" si="7"/>
        <v>526.4</v>
      </c>
      <c r="T54" s="60">
        <f t="shared" si="7"/>
        <v>526.4</v>
      </c>
      <c r="U54" s="60">
        <f t="shared" si="7"/>
        <v>526.4</v>
      </c>
      <c r="V54" s="60">
        <f t="shared" si="7"/>
        <v>526.4</v>
      </c>
      <c r="W54" s="60">
        <f t="shared" si="7"/>
        <v>526.4</v>
      </c>
      <c r="X54" s="60">
        <f t="shared" si="7"/>
        <v>526.4</v>
      </c>
      <c r="Y54" s="60">
        <f t="shared" si="7"/>
        <v>526.4</v>
      </c>
      <c r="Z54" s="60">
        <f t="shared" si="7"/>
        <v>538.4</v>
      </c>
      <c r="AA54" s="60">
        <f t="shared" si="7"/>
        <v>538.4</v>
      </c>
      <c r="AB54" s="60">
        <f t="shared" si="7"/>
        <v>538.4</v>
      </c>
      <c r="AC54" s="60">
        <f t="shared" si="7"/>
        <v>538.4</v>
      </c>
      <c r="AD54" s="60">
        <f t="shared" si="7"/>
        <v>538.4</v>
      </c>
      <c r="AE54" s="60">
        <f t="shared" si="7"/>
        <v>533.4</v>
      </c>
      <c r="AF54" s="60">
        <f t="shared" si="7"/>
        <v>533.4</v>
      </c>
      <c r="AG54" s="61">
        <f t="shared" si="7"/>
        <v>538.1</v>
      </c>
      <c r="AH54" s="47">
        <f t="shared" si="2"/>
        <v>538.5</v>
      </c>
      <c r="AI54" s="48">
        <f t="shared" si="3"/>
        <v>526.4</v>
      </c>
      <c r="AK54" s="50"/>
    </row>
    <row r="55" spans="1:41" x14ac:dyDescent="0.25">
      <c r="A55" s="44" t="s">
        <v>63</v>
      </c>
      <c r="B55" s="45">
        <v>144.6</v>
      </c>
      <c r="C55" s="45">
        <v>144.69999999999999</v>
      </c>
      <c r="D55" s="45">
        <v>144.6</v>
      </c>
      <c r="E55" s="45">
        <v>144.6</v>
      </c>
      <c r="F55" s="45">
        <v>144.6</v>
      </c>
      <c r="G55" s="45">
        <v>144.6</v>
      </c>
      <c r="H55" s="45">
        <v>144.6</v>
      </c>
      <c r="I55" s="45">
        <v>116.4</v>
      </c>
      <c r="J55" s="45">
        <v>144.4</v>
      </c>
      <c r="K55" s="45">
        <v>144.4</v>
      </c>
      <c r="L55" s="45">
        <v>144.4</v>
      </c>
      <c r="M55" s="45">
        <v>144.4</v>
      </c>
      <c r="N55" s="45">
        <v>144.4</v>
      </c>
      <c r="O55" s="45">
        <v>114</v>
      </c>
      <c r="P55" s="45">
        <v>144.30000000000001</v>
      </c>
      <c r="Q55" s="45">
        <v>144.30000000000001</v>
      </c>
      <c r="R55" s="45">
        <v>144.30000000000001</v>
      </c>
      <c r="S55" s="45">
        <v>144.30000000000001</v>
      </c>
      <c r="T55" s="45">
        <v>144.30000000000001</v>
      </c>
      <c r="U55" s="45">
        <v>144.30000000000001</v>
      </c>
      <c r="V55" s="45">
        <v>120</v>
      </c>
      <c r="W55" s="45">
        <v>120</v>
      </c>
      <c r="X55" s="45">
        <v>145.30000000000001</v>
      </c>
      <c r="Y55" s="45">
        <v>145.30000000000001</v>
      </c>
      <c r="Z55" s="45">
        <v>144.6</v>
      </c>
      <c r="AA55" s="45">
        <v>144.6</v>
      </c>
      <c r="AB55" s="45">
        <v>144.6</v>
      </c>
      <c r="AC55" s="45">
        <v>144.6</v>
      </c>
      <c r="AD55" s="45">
        <v>144.6</v>
      </c>
      <c r="AE55" s="45">
        <v>144.6</v>
      </c>
      <c r="AF55" s="45">
        <v>144.6</v>
      </c>
      <c r="AG55" s="51">
        <v>144</v>
      </c>
      <c r="AH55" s="47">
        <f t="shared" si="2"/>
        <v>145.30000000000001</v>
      </c>
      <c r="AI55" s="48">
        <f t="shared" si="3"/>
        <v>114</v>
      </c>
      <c r="AK55" s="50"/>
    </row>
    <row r="56" spans="1:41" x14ac:dyDescent="0.25">
      <c r="A56" s="53" t="s">
        <v>64</v>
      </c>
      <c r="B56" s="64">
        <v>69.5</v>
      </c>
      <c r="C56" s="64">
        <v>65.2</v>
      </c>
      <c r="D56" s="64">
        <v>49.8</v>
      </c>
      <c r="E56" s="64">
        <v>49.7</v>
      </c>
      <c r="F56" s="64">
        <v>40.4</v>
      </c>
      <c r="G56" s="64">
        <v>49.3</v>
      </c>
      <c r="H56" s="64">
        <v>50.4</v>
      </c>
      <c r="I56" s="64">
        <v>48.9</v>
      </c>
      <c r="J56" s="64">
        <v>51.8</v>
      </c>
      <c r="K56" s="64">
        <v>49.6</v>
      </c>
      <c r="L56" s="64">
        <v>49.6</v>
      </c>
      <c r="M56" s="64">
        <v>49.6</v>
      </c>
      <c r="N56" s="64">
        <v>49.6</v>
      </c>
      <c r="O56" s="64">
        <v>0</v>
      </c>
      <c r="P56" s="64">
        <v>0</v>
      </c>
      <c r="Q56" s="64">
        <v>0</v>
      </c>
      <c r="R56" s="64">
        <v>0</v>
      </c>
      <c r="S56" s="64">
        <v>0</v>
      </c>
      <c r="T56" s="64">
        <v>0</v>
      </c>
      <c r="U56" s="64">
        <v>0</v>
      </c>
      <c r="V56" s="45">
        <v>0</v>
      </c>
      <c r="W56" s="45">
        <v>0</v>
      </c>
      <c r="X56" s="45">
        <v>25.9</v>
      </c>
      <c r="Y56" s="45">
        <v>55</v>
      </c>
      <c r="Z56" s="45">
        <v>34.6</v>
      </c>
      <c r="AA56" s="45">
        <v>34.6</v>
      </c>
      <c r="AB56" s="45">
        <v>34.6</v>
      </c>
      <c r="AC56" s="45">
        <v>69.599999999999994</v>
      </c>
      <c r="AD56" s="45">
        <v>69.599999999999994</v>
      </c>
      <c r="AE56" s="45">
        <v>69.599999999999994</v>
      </c>
      <c r="AF56" s="45">
        <v>69.599999999999994</v>
      </c>
      <c r="AG56" s="54">
        <v>70</v>
      </c>
      <c r="AH56" s="47">
        <f t="shared" si="2"/>
        <v>69.599999999999994</v>
      </c>
      <c r="AI56" s="48">
        <f t="shared" si="3"/>
        <v>0</v>
      </c>
      <c r="AK56" s="50"/>
    </row>
    <row r="57" spans="1:41" x14ac:dyDescent="0.25">
      <c r="A57" s="53" t="s">
        <v>65</v>
      </c>
      <c r="B57" s="64">
        <v>65</v>
      </c>
      <c r="C57" s="64">
        <v>66.2</v>
      </c>
      <c r="D57" s="64">
        <v>66.099999999999994</v>
      </c>
      <c r="E57" s="64">
        <v>66.099999999999994</v>
      </c>
      <c r="F57" s="64">
        <v>66.099999999999994</v>
      </c>
      <c r="G57" s="64">
        <v>66.099999999999994</v>
      </c>
      <c r="H57" s="64">
        <v>64.900000000000006</v>
      </c>
      <c r="I57" s="64">
        <v>62</v>
      </c>
      <c r="J57" s="64">
        <v>64.8</v>
      </c>
      <c r="K57" s="64">
        <v>64.8</v>
      </c>
      <c r="L57" s="64">
        <v>64.8</v>
      </c>
      <c r="M57" s="64">
        <v>64.8</v>
      </c>
      <c r="N57" s="64">
        <v>60.4</v>
      </c>
      <c r="O57" s="64">
        <v>65</v>
      </c>
      <c r="P57" s="64">
        <v>65</v>
      </c>
      <c r="Q57" s="64">
        <v>65</v>
      </c>
      <c r="R57" s="64">
        <v>65</v>
      </c>
      <c r="S57" s="64">
        <v>65</v>
      </c>
      <c r="T57" s="64">
        <v>65</v>
      </c>
      <c r="U57" s="64">
        <v>65</v>
      </c>
      <c r="V57" s="45">
        <v>56</v>
      </c>
      <c r="W57" s="45">
        <v>56</v>
      </c>
      <c r="X57" s="45">
        <v>66.400000000000006</v>
      </c>
      <c r="Y57" s="45">
        <v>66.400000000000006</v>
      </c>
      <c r="Z57" s="45">
        <v>66</v>
      </c>
      <c r="AA57" s="45">
        <v>66</v>
      </c>
      <c r="AB57" s="45">
        <v>66</v>
      </c>
      <c r="AC57" s="45">
        <v>66</v>
      </c>
      <c r="AD57" s="45">
        <v>66</v>
      </c>
      <c r="AE57" s="45">
        <v>66</v>
      </c>
      <c r="AF57" s="45">
        <v>66</v>
      </c>
      <c r="AG57" s="54">
        <v>69</v>
      </c>
      <c r="AH57" s="47">
        <f t="shared" si="2"/>
        <v>66.400000000000006</v>
      </c>
      <c r="AI57" s="48">
        <f t="shared" si="3"/>
        <v>56</v>
      </c>
      <c r="AK57" s="50"/>
    </row>
    <row r="58" spans="1:41" x14ac:dyDescent="0.25">
      <c r="A58" s="53" t="s">
        <v>66</v>
      </c>
      <c r="B58" s="64">
        <v>59</v>
      </c>
      <c r="C58" s="64">
        <v>60.9</v>
      </c>
      <c r="D58" s="64">
        <v>61.2</v>
      </c>
      <c r="E58" s="64">
        <v>61.2</v>
      </c>
      <c r="F58" s="64">
        <v>61.2</v>
      </c>
      <c r="G58" s="64">
        <v>61.2</v>
      </c>
      <c r="H58" s="64">
        <v>60.9</v>
      </c>
      <c r="I58" s="56">
        <v>62</v>
      </c>
      <c r="J58" s="56">
        <v>62</v>
      </c>
      <c r="K58" s="56">
        <v>62</v>
      </c>
      <c r="L58" s="56">
        <v>62</v>
      </c>
      <c r="M58" s="56">
        <v>62</v>
      </c>
      <c r="N58" s="56">
        <v>62</v>
      </c>
      <c r="O58" s="56">
        <v>62</v>
      </c>
      <c r="P58" s="56">
        <v>62</v>
      </c>
      <c r="Q58" s="56">
        <v>62</v>
      </c>
      <c r="R58" s="56">
        <v>62</v>
      </c>
      <c r="S58" s="56">
        <v>62</v>
      </c>
      <c r="T58" s="56">
        <v>62</v>
      </c>
      <c r="U58" s="56">
        <v>62</v>
      </c>
      <c r="V58" s="45">
        <v>44</v>
      </c>
      <c r="W58" s="45">
        <v>44</v>
      </c>
      <c r="X58" s="45">
        <v>44.1</v>
      </c>
      <c r="Y58" s="45">
        <v>44.1</v>
      </c>
      <c r="Z58" s="45">
        <v>62</v>
      </c>
      <c r="AA58" s="45">
        <v>62</v>
      </c>
      <c r="AB58" s="45">
        <v>62</v>
      </c>
      <c r="AC58" s="45">
        <v>60.9</v>
      </c>
      <c r="AD58" s="45">
        <v>60.9</v>
      </c>
      <c r="AE58" s="45">
        <v>60.9</v>
      </c>
      <c r="AF58" s="45">
        <v>60.9</v>
      </c>
      <c r="AG58" s="54">
        <v>60</v>
      </c>
      <c r="AH58" s="47">
        <f t="shared" si="2"/>
        <v>62</v>
      </c>
      <c r="AI58" s="48">
        <f t="shared" si="3"/>
        <v>44</v>
      </c>
      <c r="AK58" s="50"/>
    </row>
    <row r="59" spans="1:41" x14ac:dyDescent="0.25">
      <c r="A59" s="53" t="s">
        <v>67</v>
      </c>
      <c r="B59" s="64">
        <v>0</v>
      </c>
      <c r="C59" s="64">
        <v>28</v>
      </c>
      <c r="D59" s="64">
        <v>28</v>
      </c>
      <c r="E59" s="64">
        <v>28</v>
      </c>
      <c r="F59" s="64">
        <v>28</v>
      </c>
      <c r="G59" s="64">
        <v>28</v>
      </c>
      <c r="H59" s="64">
        <v>28</v>
      </c>
      <c r="I59" s="64">
        <v>28</v>
      </c>
      <c r="J59" s="56">
        <v>28</v>
      </c>
      <c r="K59" s="56">
        <v>28</v>
      </c>
      <c r="L59" s="56">
        <v>28</v>
      </c>
      <c r="M59" s="56">
        <v>28</v>
      </c>
      <c r="N59" s="56">
        <v>28</v>
      </c>
      <c r="O59" s="56">
        <v>28</v>
      </c>
      <c r="P59" s="56">
        <v>28</v>
      </c>
      <c r="Q59" s="56">
        <v>28</v>
      </c>
      <c r="R59" s="56">
        <v>28</v>
      </c>
      <c r="S59" s="56">
        <v>28</v>
      </c>
      <c r="T59" s="56">
        <v>28</v>
      </c>
      <c r="U59" s="56">
        <v>28</v>
      </c>
      <c r="V59" s="56">
        <v>28</v>
      </c>
      <c r="W59" s="56">
        <v>28</v>
      </c>
      <c r="X59" s="56">
        <v>28</v>
      </c>
      <c r="Y59" s="56">
        <v>28</v>
      </c>
      <c r="Z59" s="45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28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2.9</v>
      </c>
      <c r="L60" s="64">
        <v>4</v>
      </c>
      <c r="M60" s="64">
        <v>4</v>
      </c>
      <c r="N60" s="64">
        <v>4</v>
      </c>
      <c r="O60" s="64">
        <v>4</v>
      </c>
      <c r="P60" s="64">
        <v>4</v>
      </c>
      <c r="Q60" s="64">
        <v>4</v>
      </c>
      <c r="R60" s="64">
        <v>4</v>
      </c>
      <c r="S60" s="64">
        <v>4</v>
      </c>
      <c r="T60" s="64">
        <v>4</v>
      </c>
      <c r="U60" s="64">
        <v>4</v>
      </c>
      <c r="V60" s="64">
        <v>4</v>
      </c>
      <c r="W60" s="64">
        <v>0</v>
      </c>
      <c r="X60" s="64">
        <v>0</v>
      </c>
      <c r="Y60" s="64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4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12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13.1</v>
      </c>
      <c r="C63" s="64">
        <v>8.8000000000000007</v>
      </c>
      <c r="D63" s="64">
        <v>8.8000000000000007</v>
      </c>
      <c r="E63" s="64">
        <v>8.8000000000000007</v>
      </c>
      <c r="F63" s="64">
        <v>8.8000000000000007</v>
      </c>
      <c r="G63" s="64">
        <v>8.8000000000000007</v>
      </c>
      <c r="H63" s="64">
        <v>8.8000000000000007</v>
      </c>
      <c r="I63" s="64">
        <v>8.8000000000000007</v>
      </c>
      <c r="J63" s="64">
        <v>8.8000000000000007</v>
      </c>
      <c r="K63" s="64">
        <v>8.8000000000000007</v>
      </c>
      <c r="L63" s="64">
        <v>8.8000000000000007</v>
      </c>
      <c r="M63" s="64">
        <v>8.8000000000000007</v>
      </c>
      <c r="N63" s="64">
        <v>8.8000000000000007</v>
      </c>
      <c r="O63" s="64">
        <v>8.8000000000000007</v>
      </c>
      <c r="P63" s="64">
        <v>8.8000000000000007</v>
      </c>
      <c r="Q63" s="64">
        <v>8.8000000000000007</v>
      </c>
      <c r="R63" s="64">
        <v>8.8000000000000007</v>
      </c>
      <c r="S63" s="64">
        <v>8.8000000000000007</v>
      </c>
      <c r="T63" s="64">
        <v>8.8000000000000007</v>
      </c>
      <c r="U63" s="64">
        <v>8.8000000000000007</v>
      </c>
      <c r="V63" s="64">
        <v>8.8000000000000007</v>
      </c>
      <c r="W63" s="64">
        <v>8.8000000000000007</v>
      </c>
      <c r="X63" s="64">
        <v>8.8000000000000007</v>
      </c>
      <c r="Y63" s="64">
        <v>8.8000000000000007</v>
      </c>
      <c r="Z63" s="64">
        <v>8.8000000000000007</v>
      </c>
      <c r="AA63" s="64">
        <v>8.8000000000000007</v>
      </c>
      <c r="AB63" s="64">
        <v>8.8000000000000007</v>
      </c>
      <c r="AC63" s="64">
        <v>8.8000000000000007</v>
      </c>
      <c r="AD63" s="64">
        <v>8.8000000000000007</v>
      </c>
      <c r="AE63" s="64">
        <v>8.8000000000000007</v>
      </c>
      <c r="AF63" s="64">
        <v>8.8000000000000007</v>
      </c>
      <c r="AG63" s="54">
        <v>14.1</v>
      </c>
      <c r="AH63" s="47">
        <f t="shared" si="2"/>
        <v>13.1</v>
      </c>
      <c r="AI63" s="48">
        <f t="shared" si="3"/>
        <v>8.8000000000000007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13.7</v>
      </c>
      <c r="C64" s="64">
        <v>13.8</v>
      </c>
      <c r="D64" s="64">
        <v>13.8</v>
      </c>
      <c r="E64" s="64">
        <v>13.8</v>
      </c>
      <c r="F64" s="64">
        <v>13.8</v>
      </c>
      <c r="G64" s="64">
        <v>13.8</v>
      </c>
      <c r="H64" s="64">
        <v>13.8</v>
      </c>
      <c r="I64" s="64">
        <v>13.8</v>
      </c>
      <c r="J64" s="64">
        <v>13.8</v>
      </c>
      <c r="K64" s="64">
        <v>13.8</v>
      </c>
      <c r="L64" s="64">
        <v>13.8</v>
      </c>
      <c r="M64" s="64">
        <v>13.8</v>
      </c>
      <c r="N64" s="64">
        <v>13.8</v>
      </c>
      <c r="O64" s="64">
        <v>13.8</v>
      </c>
      <c r="P64" s="64">
        <v>13.8</v>
      </c>
      <c r="Q64" s="64">
        <v>13.8</v>
      </c>
      <c r="R64" s="64">
        <v>13.8</v>
      </c>
      <c r="S64" s="64">
        <v>13.8</v>
      </c>
      <c r="T64" s="64">
        <v>13.8</v>
      </c>
      <c r="U64" s="64">
        <v>13.8</v>
      </c>
      <c r="V64" s="64">
        <v>13.8</v>
      </c>
      <c r="W64" s="64">
        <v>13.8</v>
      </c>
      <c r="X64" s="64">
        <v>13.8</v>
      </c>
      <c r="Y64" s="64">
        <v>13.8</v>
      </c>
      <c r="Z64" s="64">
        <v>13.99</v>
      </c>
      <c r="AA64" s="64">
        <v>13.99</v>
      </c>
      <c r="AB64" s="64">
        <v>13.99</v>
      </c>
      <c r="AC64" s="64">
        <v>13.99</v>
      </c>
      <c r="AD64" s="64">
        <v>13.99</v>
      </c>
      <c r="AE64" s="64">
        <v>13.99</v>
      </c>
      <c r="AF64" s="64">
        <v>13.99</v>
      </c>
      <c r="AG64" s="54">
        <v>14</v>
      </c>
      <c r="AH64" s="47">
        <f t="shared" si="2"/>
        <v>13.99</v>
      </c>
      <c r="AI64" s="48">
        <f t="shared" si="3"/>
        <v>13.7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404.34</v>
      </c>
      <c r="C68" s="60">
        <f t="shared" ref="C68:AG68" si="8">SUM(C55:C67)</f>
        <v>425.53999999999996</v>
      </c>
      <c r="D68" s="60">
        <f>SUM(D55:D67)</f>
        <v>410.24</v>
      </c>
      <c r="E68" s="60">
        <f t="shared" si="8"/>
        <v>408.14</v>
      </c>
      <c r="F68" s="60">
        <f t="shared" si="8"/>
        <v>400.84000000000003</v>
      </c>
      <c r="G68" s="60">
        <f t="shared" si="8"/>
        <v>409.74</v>
      </c>
      <c r="H68" s="60">
        <f t="shared" si="8"/>
        <v>409.34</v>
      </c>
      <c r="I68" s="60">
        <f t="shared" si="8"/>
        <v>377.84000000000003</v>
      </c>
      <c r="J68" s="60">
        <f t="shared" si="8"/>
        <v>411.54</v>
      </c>
      <c r="K68" s="60">
        <f t="shared" si="8"/>
        <v>412.24</v>
      </c>
      <c r="L68" s="60">
        <f t="shared" si="8"/>
        <v>413.34000000000003</v>
      </c>
      <c r="M68" s="60">
        <f t="shared" si="8"/>
        <v>413.34000000000003</v>
      </c>
      <c r="N68" s="60">
        <f t="shared" si="8"/>
        <v>408.94</v>
      </c>
      <c r="O68" s="60">
        <f t="shared" si="8"/>
        <v>333.54</v>
      </c>
      <c r="P68" s="60">
        <f t="shared" si="8"/>
        <v>363.84000000000003</v>
      </c>
      <c r="Q68" s="60">
        <f t="shared" si="8"/>
        <v>363.84000000000003</v>
      </c>
      <c r="R68" s="60">
        <f t="shared" si="8"/>
        <v>363.84000000000003</v>
      </c>
      <c r="S68" s="60">
        <f t="shared" si="8"/>
        <v>363.84000000000003</v>
      </c>
      <c r="T68" s="60">
        <f t="shared" si="8"/>
        <v>363.84000000000003</v>
      </c>
      <c r="U68" s="60">
        <f t="shared" si="8"/>
        <v>363.84000000000003</v>
      </c>
      <c r="V68" s="60">
        <f t="shared" si="8"/>
        <v>312.54000000000002</v>
      </c>
      <c r="W68" s="60">
        <f t="shared" si="8"/>
        <v>308.54000000000002</v>
      </c>
      <c r="X68" s="60">
        <f t="shared" si="8"/>
        <v>370.24000000000007</v>
      </c>
      <c r="Y68" s="60">
        <f t="shared" si="8"/>
        <v>399.34000000000009</v>
      </c>
      <c r="Z68" s="60">
        <f t="shared" si="8"/>
        <v>395.93</v>
      </c>
      <c r="AA68" s="60">
        <f t="shared" si="8"/>
        <v>395.93</v>
      </c>
      <c r="AB68" s="60">
        <f t="shared" si="8"/>
        <v>395.93</v>
      </c>
      <c r="AC68" s="60">
        <f t="shared" si="8"/>
        <v>429.83</v>
      </c>
      <c r="AD68" s="60">
        <f t="shared" si="8"/>
        <v>429.83</v>
      </c>
      <c r="AE68" s="60">
        <f t="shared" si="8"/>
        <v>429.83</v>
      </c>
      <c r="AF68" s="60">
        <f t="shared" si="8"/>
        <v>429.83</v>
      </c>
      <c r="AG68" s="61">
        <f t="shared" si="8"/>
        <v>489.91</v>
      </c>
      <c r="AH68" s="47">
        <f t="shared" si="2"/>
        <v>429.83</v>
      </c>
      <c r="AI68" s="48">
        <f t="shared" si="3"/>
        <v>308.54000000000002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9">M69+M70+M71</f>
        <v>0</v>
      </c>
      <c r="N72" s="60">
        <f t="shared" si="9"/>
        <v>0</v>
      </c>
      <c r="O72" s="60">
        <f t="shared" si="9"/>
        <v>0</v>
      </c>
      <c r="P72" s="60">
        <f t="shared" si="9"/>
        <v>0</v>
      </c>
      <c r="Q72" s="60">
        <f t="shared" si="9"/>
        <v>0</v>
      </c>
      <c r="R72" s="60">
        <f t="shared" si="9"/>
        <v>0</v>
      </c>
      <c r="S72" s="60">
        <f t="shared" si="9"/>
        <v>0</v>
      </c>
      <c r="T72" s="60">
        <f t="shared" si="9"/>
        <v>0</v>
      </c>
      <c r="U72" s="60">
        <f t="shared" si="9"/>
        <v>0</v>
      </c>
      <c r="V72" s="60">
        <f t="shared" si="9"/>
        <v>0</v>
      </c>
      <c r="W72" s="60">
        <f t="shared" si="9"/>
        <v>0</v>
      </c>
      <c r="X72" s="60">
        <f t="shared" si="9"/>
        <v>0</v>
      </c>
      <c r="Y72" s="60">
        <f t="shared" si="9"/>
        <v>0</v>
      </c>
      <c r="Z72" s="60">
        <f t="shared" si="9"/>
        <v>0</v>
      </c>
      <c r="AA72" s="60">
        <f t="shared" si="9"/>
        <v>0</v>
      </c>
      <c r="AB72" s="60">
        <f t="shared" si="9"/>
        <v>0</v>
      </c>
      <c r="AC72" s="60">
        <f t="shared" si="9"/>
        <v>0</v>
      </c>
      <c r="AD72" s="60">
        <f t="shared" si="9"/>
        <v>0</v>
      </c>
      <c r="AE72" s="60">
        <f t="shared" si="9"/>
        <v>0</v>
      </c>
      <c r="AF72" s="60">
        <f t="shared" si="9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-19</v>
      </c>
      <c r="C73" s="45">
        <v>-38.9</v>
      </c>
      <c r="D73" s="45">
        <v>-40.700000000000003</v>
      </c>
      <c r="E73" s="45">
        <v>-44</v>
      </c>
      <c r="F73" s="45">
        <v>-40</v>
      </c>
      <c r="G73" s="45">
        <v>-45</v>
      </c>
      <c r="H73" s="45">
        <v>-42</v>
      </c>
      <c r="I73" s="45">
        <v>-50</v>
      </c>
      <c r="J73" s="45">
        <v>-53.7</v>
      </c>
      <c r="K73" s="45">
        <v>-25</v>
      </c>
      <c r="L73" s="45">
        <v>-13</v>
      </c>
      <c r="M73" s="45">
        <v>-10.5</v>
      </c>
      <c r="N73" s="45">
        <v>-10</v>
      </c>
      <c r="O73" s="45">
        <v>0</v>
      </c>
      <c r="P73" s="45">
        <v>35</v>
      </c>
      <c r="Q73" s="45">
        <v>-29</v>
      </c>
      <c r="R73" s="45">
        <v>-23.5</v>
      </c>
      <c r="S73" s="45">
        <v>-20.8</v>
      </c>
      <c r="T73" s="45">
        <v>-31.5</v>
      </c>
      <c r="U73" s="45">
        <v>-23</v>
      </c>
      <c r="V73" s="45">
        <v>-30</v>
      </c>
      <c r="W73" s="45">
        <v>-39</v>
      </c>
      <c r="X73" s="45">
        <v>-32</v>
      </c>
      <c r="Y73" s="45">
        <v>-26</v>
      </c>
      <c r="Z73" s="45">
        <v>-12</v>
      </c>
      <c r="AA73" s="45">
        <v>-13</v>
      </c>
      <c r="AB73" s="45">
        <v>-18.3</v>
      </c>
      <c r="AC73" s="45">
        <v>-17.2</v>
      </c>
      <c r="AD73" s="45">
        <v>-10.4</v>
      </c>
      <c r="AE73" s="45">
        <v>-7.2</v>
      </c>
      <c r="AF73" s="45">
        <v>-9</v>
      </c>
      <c r="AG73" s="51"/>
      <c r="AH73" s="47">
        <f t="shared" si="2"/>
        <v>35</v>
      </c>
      <c r="AI73" s="48">
        <f t="shared" si="3"/>
        <v>-53.7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-340</v>
      </c>
      <c r="C75" s="64">
        <v>-315</v>
      </c>
      <c r="D75" s="64">
        <v>-324</v>
      </c>
      <c r="E75" s="64">
        <v>-376.8</v>
      </c>
      <c r="F75" s="64">
        <v>-395.6</v>
      </c>
      <c r="G75" s="64">
        <v>-420</v>
      </c>
      <c r="H75" s="64">
        <v>-460</v>
      </c>
      <c r="I75" s="64">
        <v>-415</v>
      </c>
      <c r="J75" s="64">
        <v>-420</v>
      </c>
      <c r="K75" s="64">
        <v>-409</v>
      </c>
      <c r="L75" s="64">
        <v>-411.3</v>
      </c>
      <c r="M75" s="64">
        <v>-435</v>
      </c>
      <c r="N75" s="64">
        <v>-437</v>
      </c>
      <c r="O75" s="64">
        <v>-323</v>
      </c>
      <c r="P75" s="64">
        <v>-349</v>
      </c>
      <c r="Q75" s="64">
        <v>-370</v>
      </c>
      <c r="R75" s="64">
        <v>-435</v>
      </c>
      <c r="S75" s="64">
        <v>-335.3</v>
      </c>
      <c r="T75" s="64">
        <v>-357</v>
      </c>
      <c r="U75" s="64">
        <v>-400</v>
      </c>
      <c r="V75" s="64">
        <v>-400</v>
      </c>
      <c r="W75" s="64">
        <v>-319</v>
      </c>
      <c r="X75" s="64">
        <v>-420.9</v>
      </c>
      <c r="Y75" s="64">
        <v>-360</v>
      </c>
      <c r="Z75" s="64">
        <v>-378</v>
      </c>
      <c r="AA75" s="64">
        <v>-369</v>
      </c>
      <c r="AB75" s="64">
        <v>-409</v>
      </c>
      <c r="AC75" s="64">
        <v>-400</v>
      </c>
      <c r="AD75" s="64">
        <v>-360</v>
      </c>
      <c r="AE75" s="64">
        <v>-394</v>
      </c>
      <c r="AF75" s="64">
        <v>-344</v>
      </c>
      <c r="AG75" s="74"/>
      <c r="AH75" s="47">
        <f t="shared" si="2"/>
        <v>-315</v>
      </c>
      <c r="AI75" s="48">
        <f t="shared" si="3"/>
        <v>-460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0">MAX(B77:AF77)</f>
        <v>0</v>
      </c>
      <c r="AI77" s="48">
        <f t="shared" ref="AI77:AI120" si="11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/>
      <c r="AA78" s="76"/>
      <c r="AB78" s="76"/>
      <c r="AC78" s="76"/>
      <c r="AD78" s="76"/>
      <c r="AE78" s="76"/>
      <c r="AF78" s="76"/>
      <c r="AG78" s="74"/>
      <c r="AH78" s="47">
        <f t="shared" si="10"/>
        <v>0</v>
      </c>
      <c r="AI78" s="48">
        <f t="shared" si="11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/>
      <c r="AA79" s="76"/>
      <c r="AB79" s="76"/>
      <c r="AC79" s="76"/>
      <c r="AD79" s="76"/>
      <c r="AE79" s="76"/>
      <c r="AF79" s="76"/>
      <c r="AG79" s="74"/>
      <c r="AH79" s="47">
        <f t="shared" si="10"/>
        <v>0</v>
      </c>
      <c r="AI79" s="48">
        <f t="shared" si="1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/>
      <c r="AA80" s="76"/>
      <c r="AB80" s="76"/>
      <c r="AC80" s="76"/>
      <c r="AD80" s="76"/>
      <c r="AE80" s="76"/>
      <c r="AF80" s="76"/>
      <c r="AG80" s="74"/>
      <c r="AH80" s="47">
        <f t="shared" si="10"/>
        <v>0</v>
      </c>
      <c r="AI80" s="48">
        <f t="shared" si="1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/>
      <c r="AA81" s="76"/>
      <c r="AB81" s="76"/>
      <c r="AC81" s="76"/>
      <c r="AD81" s="76"/>
      <c r="AE81" s="76"/>
      <c r="AF81" s="76"/>
      <c r="AG81" s="74"/>
      <c r="AH81" s="47">
        <f t="shared" si="10"/>
        <v>0</v>
      </c>
      <c r="AI81" s="48">
        <f t="shared" si="1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/>
      <c r="AA82" s="76"/>
      <c r="AB82" s="76"/>
      <c r="AC82" s="76"/>
      <c r="AD82" s="76"/>
      <c r="AE82" s="76"/>
      <c r="AF82" s="76"/>
      <c r="AG82" s="84"/>
      <c r="AH82" s="47">
        <f t="shared" si="10"/>
        <v>0</v>
      </c>
      <c r="AI82" s="48">
        <f t="shared" si="1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/>
      <c r="AA83" s="76"/>
      <c r="AB83" s="76"/>
      <c r="AC83" s="76"/>
      <c r="AD83" s="76"/>
      <c r="AE83" s="76"/>
      <c r="AF83" s="76"/>
      <c r="AG83" s="84"/>
      <c r="AH83" s="47">
        <f t="shared" si="10"/>
        <v>0</v>
      </c>
      <c r="AI83" s="48">
        <f t="shared" si="1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f t="shared" ref="C84:AF84" si="12">SUMIF(C73:C83,"&gt;0")</f>
        <v>0</v>
      </c>
      <c r="D84" s="60">
        <f>SUMIF(D73:D83,"&gt;0")</f>
        <v>0</v>
      </c>
      <c r="E84" s="60">
        <f t="shared" si="12"/>
        <v>0</v>
      </c>
      <c r="F84" s="60">
        <f t="shared" si="12"/>
        <v>0</v>
      </c>
      <c r="G84" s="60">
        <f t="shared" si="12"/>
        <v>0</v>
      </c>
      <c r="H84" s="60">
        <f t="shared" si="12"/>
        <v>0</v>
      </c>
      <c r="I84" s="60">
        <f t="shared" si="12"/>
        <v>0</v>
      </c>
      <c r="J84" s="60">
        <f t="shared" si="12"/>
        <v>0</v>
      </c>
      <c r="K84" s="60">
        <f t="shared" si="12"/>
        <v>0</v>
      </c>
      <c r="L84" s="60">
        <f t="shared" si="12"/>
        <v>0</v>
      </c>
      <c r="M84" s="60">
        <f t="shared" si="12"/>
        <v>0</v>
      </c>
      <c r="N84" s="60">
        <f t="shared" si="12"/>
        <v>0</v>
      </c>
      <c r="O84" s="60">
        <f t="shared" si="12"/>
        <v>0</v>
      </c>
      <c r="P84" s="60">
        <f t="shared" si="12"/>
        <v>35</v>
      </c>
      <c r="Q84" s="60">
        <f t="shared" si="12"/>
        <v>0</v>
      </c>
      <c r="R84" s="60">
        <f t="shared" si="12"/>
        <v>0</v>
      </c>
      <c r="S84" s="60">
        <f t="shared" si="12"/>
        <v>0</v>
      </c>
      <c r="T84" s="60">
        <f t="shared" si="12"/>
        <v>0</v>
      </c>
      <c r="U84" s="60">
        <f t="shared" si="12"/>
        <v>0</v>
      </c>
      <c r="V84" s="60">
        <f t="shared" si="12"/>
        <v>0</v>
      </c>
      <c r="W84" s="60">
        <f t="shared" si="12"/>
        <v>0</v>
      </c>
      <c r="X84" s="60">
        <f t="shared" si="12"/>
        <v>0</v>
      </c>
      <c r="Y84" s="60">
        <f t="shared" si="12"/>
        <v>0</v>
      </c>
      <c r="Z84" s="60">
        <f t="shared" si="12"/>
        <v>0</v>
      </c>
      <c r="AA84" s="60">
        <f t="shared" si="12"/>
        <v>0</v>
      </c>
      <c r="AB84" s="60">
        <f t="shared" si="12"/>
        <v>0</v>
      </c>
      <c r="AC84" s="60">
        <f t="shared" si="12"/>
        <v>0</v>
      </c>
      <c r="AD84" s="60">
        <f t="shared" si="12"/>
        <v>0</v>
      </c>
      <c r="AE84" s="60">
        <f t="shared" si="12"/>
        <v>0</v>
      </c>
      <c r="AF84" s="60">
        <f t="shared" si="12"/>
        <v>0</v>
      </c>
      <c r="AG84" s="87">
        <f>SUM(AG73:AG83)</f>
        <v>0</v>
      </c>
      <c r="AH84" s="47">
        <f t="shared" si="10"/>
        <v>35</v>
      </c>
      <c r="AI84" s="48">
        <f t="shared" si="11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0"/>
        <v>0</v>
      </c>
      <c r="AI85" s="48">
        <f t="shared" si="11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0"/>
        <v>0</v>
      </c>
      <c r="AI86" s="48">
        <f t="shared" si="1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0"/>
        <v>0</v>
      </c>
      <c r="AI87" s="48">
        <f t="shared" si="1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0"/>
        <v>0</v>
      </c>
      <c r="AI88" s="48">
        <f t="shared" si="11"/>
        <v>0</v>
      </c>
    </row>
    <row r="89" spans="1:40" ht="15.75" thickBot="1" x14ac:dyDescent="0.3">
      <c r="A89" s="73" t="s">
        <v>100</v>
      </c>
      <c r="B89" s="94">
        <v>2027.9399999999998</v>
      </c>
      <c r="C89" s="94">
        <f t="shared" ref="C89:AG89" si="13">C50+C54+C72+C68+C84+C88</f>
        <v>2044.1399999999999</v>
      </c>
      <c r="D89" s="94">
        <f>D50+D54+D72+D68+D84+D88</f>
        <v>2028.74</v>
      </c>
      <c r="E89" s="94">
        <f t="shared" si="13"/>
        <v>2024.6399999999999</v>
      </c>
      <c r="F89" s="94">
        <f t="shared" si="13"/>
        <v>2017.3400000000001</v>
      </c>
      <c r="G89" s="94">
        <f t="shared" si="13"/>
        <v>2026.24</v>
      </c>
      <c r="H89" s="94">
        <f t="shared" si="13"/>
        <v>2032.84</v>
      </c>
      <c r="I89" s="94">
        <f t="shared" si="13"/>
        <v>1995.3400000000001</v>
      </c>
      <c r="J89" s="94">
        <f t="shared" si="13"/>
        <v>2025.54</v>
      </c>
      <c r="K89" s="94">
        <f t="shared" si="13"/>
        <v>2057.84</v>
      </c>
      <c r="L89" s="94">
        <f t="shared" si="13"/>
        <v>2058.94</v>
      </c>
      <c r="M89" s="94">
        <f t="shared" si="13"/>
        <v>2069.6400000000003</v>
      </c>
      <c r="N89" s="94">
        <f t="shared" si="13"/>
        <v>2027.2400000000002</v>
      </c>
      <c r="O89" s="94">
        <f t="shared" si="13"/>
        <v>1951.8400000000001</v>
      </c>
      <c r="P89" s="94">
        <f t="shared" si="13"/>
        <v>2017.1400000000003</v>
      </c>
      <c r="Q89" s="94">
        <f t="shared" si="13"/>
        <v>1986.1400000000003</v>
      </c>
      <c r="R89" s="94">
        <f t="shared" si="13"/>
        <v>2011.1400000000003</v>
      </c>
      <c r="S89" s="94">
        <f t="shared" si="13"/>
        <v>2043.3400000000001</v>
      </c>
      <c r="T89" s="94">
        <f t="shared" si="13"/>
        <v>2038.2400000000002</v>
      </c>
      <c r="U89" s="94">
        <f t="shared" si="13"/>
        <v>2038.2400000000002</v>
      </c>
      <c r="V89" s="94">
        <f t="shared" si="13"/>
        <v>1947.1399999999999</v>
      </c>
      <c r="W89" s="94">
        <f t="shared" si="13"/>
        <v>1943.1399999999999</v>
      </c>
      <c r="X89" s="94">
        <f t="shared" si="13"/>
        <v>2009.84</v>
      </c>
      <c r="Y89" s="94">
        <f t="shared" si="13"/>
        <v>2038.94</v>
      </c>
      <c r="Z89" s="94">
        <f t="shared" si="13"/>
        <v>2154.5299999999997</v>
      </c>
      <c r="AA89" s="94">
        <f t="shared" si="13"/>
        <v>2163.0299999999997</v>
      </c>
      <c r="AB89" s="94">
        <f t="shared" si="13"/>
        <v>2127.0299999999997</v>
      </c>
      <c r="AC89" s="94">
        <f t="shared" si="13"/>
        <v>2160.9299999999998</v>
      </c>
      <c r="AD89" s="94">
        <f t="shared" si="13"/>
        <v>2086.83</v>
      </c>
      <c r="AE89" s="94">
        <f t="shared" si="13"/>
        <v>2081.83</v>
      </c>
      <c r="AF89" s="94">
        <f t="shared" si="13"/>
        <v>2077.83</v>
      </c>
      <c r="AG89" s="61">
        <f t="shared" si="13"/>
        <v>2111.5500000000002</v>
      </c>
      <c r="AH89" s="47">
        <f t="shared" si="10"/>
        <v>2163.0299999999997</v>
      </c>
      <c r="AI89" s="48">
        <f t="shared" si="11"/>
        <v>1943.1399999999999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0"/>
        <v>0</v>
      </c>
      <c r="AI90" s="48">
        <f t="shared" si="11"/>
        <v>0</v>
      </c>
    </row>
    <row r="91" spans="1:40" ht="15.75" thickBot="1" x14ac:dyDescent="0.3">
      <c r="A91" s="73" t="s">
        <v>102</v>
      </c>
      <c r="B91" s="94">
        <v>2027.9399999999998</v>
      </c>
      <c r="C91" s="94">
        <f t="shared" ref="C91:AF91" si="14">C89+C90</f>
        <v>2044.1399999999999</v>
      </c>
      <c r="D91" s="94">
        <f>D89+D90</f>
        <v>2028.74</v>
      </c>
      <c r="E91" s="94">
        <f t="shared" si="14"/>
        <v>2024.6399999999999</v>
      </c>
      <c r="F91" s="94">
        <f t="shared" si="14"/>
        <v>2017.3400000000001</v>
      </c>
      <c r="G91" s="94">
        <f t="shared" si="14"/>
        <v>2026.24</v>
      </c>
      <c r="H91" s="94">
        <f t="shared" si="14"/>
        <v>2032.84</v>
      </c>
      <c r="I91" s="94">
        <f t="shared" si="14"/>
        <v>1995.3400000000001</v>
      </c>
      <c r="J91" s="94">
        <f t="shared" si="14"/>
        <v>2025.54</v>
      </c>
      <c r="K91" s="94">
        <f t="shared" si="14"/>
        <v>2057.84</v>
      </c>
      <c r="L91" s="94">
        <f t="shared" si="14"/>
        <v>2058.94</v>
      </c>
      <c r="M91" s="94">
        <f t="shared" si="14"/>
        <v>2069.6400000000003</v>
      </c>
      <c r="N91" s="94">
        <f t="shared" si="14"/>
        <v>2027.2400000000002</v>
      </c>
      <c r="O91" s="94">
        <f t="shared" si="14"/>
        <v>1951.8400000000001</v>
      </c>
      <c r="P91" s="94">
        <f t="shared" si="14"/>
        <v>2017.1400000000003</v>
      </c>
      <c r="Q91" s="94">
        <f t="shared" si="14"/>
        <v>1986.1400000000003</v>
      </c>
      <c r="R91" s="94">
        <f t="shared" si="14"/>
        <v>2011.1400000000003</v>
      </c>
      <c r="S91" s="94">
        <f t="shared" si="14"/>
        <v>2043.3400000000001</v>
      </c>
      <c r="T91" s="94">
        <f t="shared" si="14"/>
        <v>2038.2400000000002</v>
      </c>
      <c r="U91" s="94">
        <f t="shared" si="14"/>
        <v>2038.2400000000002</v>
      </c>
      <c r="V91" s="94">
        <f t="shared" si="14"/>
        <v>1947.1399999999999</v>
      </c>
      <c r="W91" s="94">
        <f t="shared" si="14"/>
        <v>1943.1399999999999</v>
      </c>
      <c r="X91" s="94">
        <f t="shared" si="14"/>
        <v>2009.84</v>
      </c>
      <c r="Y91" s="94">
        <f t="shared" si="14"/>
        <v>2038.94</v>
      </c>
      <c r="Z91" s="94">
        <f t="shared" si="14"/>
        <v>2154.5299999999997</v>
      </c>
      <c r="AA91" s="94">
        <f t="shared" si="14"/>
        <v>2163.0299999999997</v>
      </c>
      <c r="AB91" s="94">
        <f t="shared" si="14"/>
        <v>2127.0299999999997</v>
      </c>
      <c r="AC91" s="94">
        <f t="shared" si="14"/>
        <v>2160.9299999999998</v>
      </c>
      <c r="AD91" s="94">
        <f t="shared" si="14"/>
        <v>2086.83</v>
      </c>
      <c r="AE91" s="94">
        <f t="shared" si="14"/>
        <v>2081.83</v>
      </c>
      <c r="AF91" s="94">
        <f t="shared" si="14"/>
        <v>2077.83</v>
      </c>
      <c r="AG91" s="87">
        <f>AG88+AG84+AG72+AG68+AG50+AG90</f>
        <v>1573.45</v>
      </c>
      <c r="AH91" s="47">
        <f t="shared" si="10"/>
        <v>2163.0299999999997</v>
      </c>
      <c r="AI91" s="48">
        <f t="shared" si="11"/>
        <v>1943.1399999999999</v>
      </c>
    </row>
    <row r="92" spans="1:40" ht="15.75" thickBot="1" x14ac:dyDescent="0.3">
      <c r="A92" s="73" t="s">
        <v>103</v>
      </c>
      <c r="B92" s="94">
        <v>1729.7399999999998</v>
      </c>
      <c r="C92" s="94">
        <f t="shared" ref="C92:AF92" si="15">C91-(-C99)</f>
        <v>1729.1399999999999</v>
      </c>
      <c r="D92" s="94">
        <f>D91-(-D99)</f>
        <v>1704.74</v>
      </c>
      <c r="E92" s="94">
        <f t="shared" si="15"/>
        <v>1647.84</v>
      </c>
      <c r="F92" s="94">
        <f t="shared" si="15"/>
        <v>1621.7400000000002</v>
      </c>
      <c r="G92" s="94">
        <f t="shared" si="15"/>
        <v>1606.24</v>
      </c>
      <c r="H92" s="94">
        <f t="shared" si="15"/>
        <v>1572.84</v>
      </c>
      <c r="I92" s="94">
        <f t="shared" si="15"/>
        <v>1580.3400000000001</v>
      </c>
      <c r="J92" s="94">
        <f t="shared" si="15"/>
        <v>1605.54</v>
      </c>
      <c r="K92" s="94">
        <f t="shared" si="15"/>
        <v>1648.8400000000001</v>
      </c>
      <c r="L92" s="94">
        <f t="shared" si="15"/>
        <v>1647.64</v>
      </c>
      <c r="M92" s="94">
        <f t="shared" si="15"/>
        <v>1634.6400000000003</v>
      </c>
      <c r="N92" s="94">
        <f t="shared" si="15"/>
        <v>1590.2400000000002</v>
      </c>
      <c r="O92" s="94">
        <f t="shared" si="15"/>
        <v>1628.8400000000001</v>
      </c>
      <c r="P92" s="94">
        <f t="shared" si="15"/>
        <v>1668.1400000000003</v>
      </c>
      <c r="Q92" s="94">
        <f t="shared" si="15"/>
        <v>1616.1400000000003</v>
      </c>
      <c r="R92" s="94">
        <f t="shared" si="15"/>
        <v>1576.1400000000003</v>
      </c>
      <c r="S92" s="94">
        <f t="shared" si="15"/>
        <v>1708.0400000000002</v>
      </c>
      <c r="T92" s="94">
        <f t="shared" si="15"/>
        <v>1681.2400000000002</v>
      </c>
      <c r="U92" s="94">
        <f t="shared" si="15"/>
        <v>1638.2400000000002</v>
      </c>
      <c r="V92" s="94">
        <f t="shared" si="15"/>
        <v>1547.1399999999999</v>
      </c>
      <c r="W92" s="94">
        <f t="shared" si="15"/>
        <v>1624.1399999999999</v>
      </c>
      <c r="X92" s="94">
        <f t="shared" si="15"/>
        <v>1588.94</v>
      </c>
      <c r="Y92" s="94">
        <f t="shared" si="15"/>
        <v>1678.94</v>
      </c>
      <c r="Z92" s="94">
        <f t="shared" si="15"/>
        <v>1776.5299999999997</v>
      </c>
      <c r="AA92" s="94">
        <f t="shared" si="15"/>
        <v>1794.0299999999997</v>
      </c>
      <c r="AB92" s="94">
        <f t="shared" si="15"/>
        <v>1718.0299999999997</v>
      </c>
      <c r="AC92" s="94">
        <f t="shared" si="15"/>
        <v>1760.9299999999998</v>
      </c>
      <c r="AD92" s="94">
        <f t="shared" si="15"/>
        <v>1726.83</v>
      </c>
      <c r="AE92" s="94">
        <f t="shared" si="15"/>
        <v>1687.83</v>
      </c>
      <c r="AF92" s="94">
        <f t="shared" si="15"/>
        <v>1733.83</v>
      </c>
      <c r="AG92" s="87"/>
      <c r="AH92" s="47">
        <f t="shared" si="10"/>
        <v>1794.0299999999997</v>
      </c>
      <c r="AI92" s="48">
        <f t="shared" si="11"/>
        <v>1547.1399999999999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0"/>
        <v>0</v>
      </c>
      <c r="AI93" s="48">
        <f t="shared" si="1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0"/>
        <v>0</v>
      </c>
      <c r="AI94" s="48">
        <f t="shared" si="1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0"/>
        <v>0</v>
      </c>
      <c r="AI95" s="48">
        <f t="shared" si="1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0"/>
        <v>0</v>
      </c>
      <c r="AI96" s="48">
        <f t="shared" si="1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0"/>
        <v>0</v>
      </c>
      <c r="AI97" s="48">
        <f t="shared" si="1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0"/>
        <v>0</v>
      </c>
      <c r="AI98" s="48">
        <f t="shared" si="11"/>
        <v>0</v>
      </c>
    </row>
    <row r="99" spans="1:37" ht="15.75" thickBot="1" x14ac:dyDescent="0.3">
      <c r="A99" s="98" t="s">
        <v>107</v>
      </c>
      <c r="B99" s="60">
        <v>-298.2</v>
      </c>
      <c r="C99" s="60">
        <f t="shared" ref="C99:AF99" si="16">C75</f>
        <v>-315</v>
      </c>
      <c r="D99" s="60">
        <f>D75</f>
        <v>-324</v>
      </c>
      <c r="E99" s="60">
        <f t="shared" si="16"/>
        <v>-376.8</v>
      </c>
      <c r="F99" s="60">
        <f t="shared" si="16"/>
        <v>-395.6</v>
      </c>
      <c r="G99" s="60">
        <f t="shared" si="16"/>
        <v>-420</v>
      </c>
      <c r="H99" s="60">
        <f t="shared" si="16"/>
        <v>-460</v>
      </c>
      <c r="I99" s="60">
        <f t="shared" si="16"/>
        <v>-415</v>
      </c>
      <c r="J99" s="60">
        <f t="shared" si="16"/>
        <v>-420</v>
      </c>
      <c r="K99" s="60">
        <f t="shared" si="16"/>
        <v>-409</v>
      </c>
      <c r="L99" s="60">
        <f t="shared" si="16"/>
        <v>-411.3</v>
      </c>
      <c r="M99" s="60">
        <f t="shared" si="16"/>
        <v>-435</v>
      </c>
      <c r="N99" s="60">
        <f t="shared" si="16"/>
        <v>-437</v>
      </c>
      <c r="O99" s="60">
        <f t="shared" si="16"/>
        <v>-323</v>
      </c>
      <c r="P99" s="60">
        <f t="shared" si="16"/>
        <v>-349</v>
      </c>
      <c r="Q99" s="60">
        <f t="shared" si="16"/>
        <v>-370</v>
      </c>
      <c r="R99" s="60">
        <f t="shared" si="16"/>
        <v>-435</v>
      </c>
      <c r="S99" s="60">
        <f t="shared" si="16"/>
        <v>-335.3</v>
      </c>
      <c r="T99" s="60">
        <f t="shared" si="16"/>
        <v>-357</v>
      </c>
      <c r="U99" s="60">
        <f t="shared" si="16"/>
        <v>-400</v>
      </c>
      <c r="V99" s="60">
        <f t="shared" si="16"/>
        <v>-400</v>
      </c>
      <c r="W99" s="60">
        <f t="shared" si="16"/>
        <v>-319</v>
      </c>
      <c r="X99" s="60">
        <f t="shared" si="16"/>
        <v>-420.9</v>
      </c>
      <c r="Y99" s="60">
        <f t="shared" si="16"/>
        <v>-360</v>
      </c>
      <c r="Z99" s="60">
        <f t="shared" si="16"/>
        <v>-378</v>
      </c>
      <c r="AA99" s="60">
        <f t="shared" si="16"/>
        <v>-369</v>
      </c>
      <c r="AB99" s="60">
        <f t="shared" si="16"/>
        <v>-409</v>
      </c>
      <c r="AC99" s="60">
        <f t="shared" si="16"/>
        <v>-400</v>
      </c>
      <c r="AD99" s="60">
        <f t="shared" si="16"/>
        <v>-360</v>
      </c>
      <c r="AE99" s="60">
        <f t="shared" si="16"/>
        <v>-394</v>
      </c>
      <c r="AF99" s="60">
        <f t="shared" si="16"/>
        <v>-344</v>
      </c>
      <c r="AG99" s="87"/>
      <c r="AH99" s="47">
        <f t="shared" si="10"/>
        <v>-298.2</v>
      </c>
      <c r="AI99" s="48">
        <f t="shared" si="11"/>
        <v>-460</v>
      </c>
      <c r="AK99" s="50"/>
    </row>
    <row r="100" spans="1:37" ht="15.75" thickBot="1" x14ac:dyDescent="0.3">
      <c r="A100" s="73" t="s">
        <v>108</v>
      </c>
      <c r="B100" s="60">
        <v>298.2</v>
      </c>
      <c r="C100" s="60">
        <f t="shared" ref="C100:AF100" si="17">C84-C99</f>
        <v>315</v>
      </c>
      <c r="D100" s="60">
        <f>D84-D99</f>
        <v>324</v>
      </c>
      <c r="E100" s="60">
        <f t="shared" si="17"/>
        <v>376.8</v>
      </c>
      <c r="F100" s="60">
        <f t="shared" si="17"/>
        <v>395.6</v>
      </c>
      <c r="G100" s="60">
        <f t="shared" si="17"/>
        <v>420</v>
      </c>
      <c r="H100" s="60">
        <f t="shared" si="17"/>
        <v>460</v>
      </c>
      <c r="I100" s="60">
        <f t="shared" si="17"/>
        <v>415</v>
      </c>
      <c r="J100" s="60">
        <f t="shared" si="17"/>
        <v>420</v>
      </c>
      <c r="K100" s="60">
        <f t="shared" si="17"/>
        <v>409</v>
      </c>
      <c r="L100" s="60">
        <f t="shared" si="17"/>
        <v>411.3</v>
      </c>
      <c r="M100" s="60">
        <f t="shared" si="17"/>
        <v>435</v>
      </c>
      <c r="N100" s="60">
        <f t="shared" si="17"/>
        <v>437</v>
      </c>
      <c r="O100" s="60">
        <f t="shared" si="17"/>
        <v>323</v>
      </c>
      <c r="P100" s="60">
        <f t="shared" si="17"/>
        <v>384</v>
      </c>
      <c r="Q100" s="60">
        <f t="shared" si="17"/>
        <v>370</v>
      </c>
      <c r="R100" s="60">
        <f t="shared" si="17"/>
        <v>435</v>
      </c>
      <c r="S100" s="60">
        <f t="shared" si="17"/>
        <v>335.3</v>
      </c>
      <c r="T100" s="60">
        <f t="shared" si="17"/>
        <v>357</v>
      </c>
      <c r="U100" s="60">
        <f t="shared" si="17"/>
        <v>400</v>
      </c>
      <c r="V100" s="60">
        <f t="shared" si="17"/>
        <v>400</v>
      </c>
      <c r="W100" s="60">
        <f t="shared" si="17"/>
        <v>319</v>
      </c>
      <c r="X100" s="60">
        <f t="shared" si="17"/>
        <v>420.9</v>
      </c>
      <c r="Y100" s="60">
        <f t="shared" si="17"/>
        <v>360</v>
      </c>
      <c r="Z100" s="60">
        <f t="shared" si="17"/>
        <v>378</v>
      </c>
      <c r="AA100" s="60">
        <f t="shared" si="17"/>
        <v>369</v>
      </c>
      <c r="AB100" s="60">
        <f t="shared" si="17"/>
        <v>409</v>
      </c>
      <c r="AC100" s="60">
        <f t="shared" si="17"/>
        <v>400</v>
      </c>
      <c r="AD100" s="60">
        <f t="shared" si="17"/>
        <v>360</v>
      </c>
      <c r="AE100" s="60">
        <f t="shared" si="17"/>
        <v>394</v>
      </c>
      <c r="AF100" s="60">
        <f t="shared" si="17"/>
        <v>344</v>
      </c>
      <c r="AG100" s="87"/>
      <c r="AH100" s="47">
        <f t="shared" si="10"/>
        <v>460</v>
      </c>
      <c r="AI100" s="48">
        <f t="shared" si="11"/>
        <v>298.2</v>
      </c>
    </row>
    <row r="101" spans="1:37" x14ac:dyDescent="0.25">
      <c r="A101" s="99" t="s">
        <v>109</v>
      </c>
      <c r="B101" s="100">
        <v>49.96</v>
      </c>
      <c r="C101" s="100">
        <v>49.97</v>
      </c>
      <c r="D101" s="100">
        <v>50.04</v>
      </c>
      <c r="E101" s="100">
        <v>49.988999999999997</v>
      </c>
      <c r="F101" s="100">
        <v>50.052999999999997</v>
      </c>
      <c r="G101" s="100">
        <v>50.030999999999999</v>
      </c>
      <c r="H101" s="100">
        <v>49.932000000000002</v>
      </c>
      <c r="I101" s="100">
        <v>49.939</v>
      </c>
      <c r="J101" s="100">
        <v>49.838000000000001</v>
      </c>
      <c r="K101" s="100">
        <v>50.018000000000001</v>
      </c>
      <c r="L101" s="100">
        <v>50.061</v>
      </c>
      <c r="M101" s="100">
        <v>50.042000000000002</v>
      </c>
      <c r="N101" s="100">
        <v>50.037999999999997</v>
      </c>
      <c r="O101" s="100">
        <v>50.03</v>
      </c>
      <c r="P101" s="100">
        <v>50.055999999999997</v>
      </c>
      <c r="Q101" s="100">
        <v>50.012999999999998</v>
      </c>
      <c r="R101" s="100">
        <v>50.183999999999997</v>
      </c>
      <c r="S101" s="100">
        <v>50.018999999999998</v>
      </c>
      <c r="T101" s="100">
        <v>50.018999999999998</v>
      </c>
      <c r="U101" s="100">
        <v>50</v>
      </c>
      <c r="V101" s="100">
        <v>50.03</v>
      </c>
      <c r="W101" s="100">
        <v>50.02</v>
      </c>
      <c r="X101" s="100">
        <v>50.042000000000002</v>
      </c>
      <c r="Y101" s="100">
        <v>49.9</v>
      </c>
      <c r="Z101" s="100">
        <v>49.942</v>
      </c>
      <c r="AA101" s="100">
        <v>50.002000000000002</v>
      </c>
      <c r="AB101" s="100">
        <v>50.054000000000002</v>
      </c>
      <c r="AC101" s="100">
        <v>50.015999999999998</v>
      </c>
      <c r="AD101" s="100">
        <v>50.015999999999998</v>
      </c>
      <c r="AE101" s="100">
        <v>50.061999999999998</v>
      </c>
      <c r="AF101" s="100">
        <v>49.988</v>
      </c>
      <c r="AG101" s="101"/>
      <c r="AH101" s="47">
        <f t="shared" si="10"/>
        <v>50.183999999999997</v>
      </c>
      <c r="AI101" s="48">
        <f t="shared" si="11"/>
        <v>49.838000000000001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0"/>
        <v>0</v>
      </c>
      <c r="AI102" s="48">
        <f t="shared" si="11"/>
        <v>0</v>
      </c>
    </row>
    <row r="103" spans="1:37" x14ac:dyDescent="0.25">
      <c r="A103" s="102" t="s">
        <v>111</v>
      </c>
      <c r="B103" s="64">
        <v>126.8</v>
      </c>
      <c r="C103" s="64">
        <v>126.6</v>
      </c>
      <c r="D103" s="64">
        <v>128.30000000000001</v>
      </c>
      <c r="E103" s="64">
        <v>128.30000000000001</v>
      </c>
      <c r="F103" s="64">
        <v>129.9</v>
      </c>
      <c r="G103" s="64">
        <v>128.6</v>
      </c>
      <c r="H103" s="64">
        <v>129.5</v>
      </c>
      <c r="I103" s="64">
        <v>127.5</v>
      </c>
      <c r="J103" s="64">
        <v>127.3</v>
      </c>
      <c r="K103" s="64">
        <v>127</v>
      </c>
      <c r="L103" s="64">
        <v>126.1</v>
      </c>
      <c r="M103" s="64">
        <v>127.2</v>
      </c>
      <c r="N103" s="64">
        <v>127.7</v>
      </c>
      <c r="O103" s="64">
        <v>125.4</v>
      </c>
      <c r="P103" s="64">
        <v>125.2</v>
      </c>
      <c r="Q103" s="64">
        <v>124.8</v>
      </c>
      <c r="R103" s="64">
        <v>128.19999999999999</v>
      </c>
      <c r="S103" s="64">
        <v>125.6</v>
      </c>
      <c r="T103" s="64">
        <v>126.5</v>
      </c>
      <c r="U103" s="64">
        <v>128</v>
      </c>
      <c r="V103" s="64">
        <v>128</v>
      </c>
      <c r="W103" s="64">
        <v>128</v>
      </c>
      <c r="X103" s="64">
        <v>128.5</v>
      </c>
      <c r="Y103" s="64">
        <v>126</v>
      </c>
      <c r="Z103" s="64">
        <v>127.3</v>
      </c>
      <c r="AA103" s="64">
        <v>127.9</v>
      </c>
      <c r="AB103" s="64">
        <v>128.19999999999999</v>
      </c>
      <c r="AC103" s="64">
        <v>128.4</v>
      </c>
      <c r="AD103" s="64">
        <v>129.69999999999999</v>
      </c>
      <c r="AE103" s="64">
        <v>129.5</v>
      </c>
      <c r="AF103" s="64">
        <v>129.6</v>
      </c>
      <c r="AG103" s="103"/>
      <c r="AH103" s="47">
        <f t="shared" si="10"/>
        <v>129.9</v>
      </c>
      <c r="AI103" s="48">
        <f t="shared" si="11"/>
        <v>124.8</v>
      </c>
    </row>
    <row r="104" spans="1:37" x14ac:dyDescent="0.25">
      <c r="A104" s="102" t="s">
        <v>112</v>
      </c>
      <c r="B104" s="64">
        <v>127.6</v>
      </c>
      <c r="C104" s="64">
        <v>126.2</v>
      </c>
      <c r="D104" s="64">
        <v>127.7</v>
      </c>
      <c r="E104" s="64">
        <v>129.4</v>
      </c>
      <c r="F104" s="64">
        <v>130.5</v>
      </c>
      <c r="G104" s="64">
        <v>129.80000000000001</v>
      </c>
      <c r="H104" s="64">
        <v>131.80000000000001</v>
      </c>
      <c r="I104" s="64">
        <v>130.80000000000001</v>
      </c>
      <c r="J104" s="64">
        <v>129.69999999999999</v>
      </c>
      <c r="K104" s="64">
        <v>130.69999999999999</v>
      </c>
      <c r="L104" s="64">
        <v>127.5</v>
      </c>
      <c r="M104" s="64">
        <v>127.2</v>
      </c>
      <c r="N104" s="64">
        <v>128.5</v>
      </c>
      <c r="O104" s="64">
        <v>127.9</v>
      </c>
      <c r="P104" s="64">
        <v>127.4</v>
      </c>
      <c r="Q104" s="64">
        <v>127.4</v>
      </c>
      <c r="R104" s="64">
        <v>129</v>
      </c>
      <c r="S104" s="64">
        <v>129.5</v>
      </c>
      <c r="T104" s="64">
        <v>130.19999999999999</v>
      </c>
      <c r="U104" s="64">
        <v>131</v>
      </c>
      <c r="V104" s="64">
        <v>131</v>
      </c>
      <c r="W104" s="64">
        <v>131</v>
      </c>
      <c r="X104" s="64">
        <v>130.19999999999999</v>
      </c>
      <c r="Y104" s="64">
        <v>128</v>
      </c>
      <c r="Z104" s="64">
        <v>127.8</v>
      </c>
      <c r="AA104" s="64">
        <v>127.8</v>
      </c>
      <c r="AB104" s="64">
        <v>127.4</v>
      </c>
      <c r="AC104" s="64">
        <v>125.9</v>
      </c>
      <c r="AD104" s="64">
        <v>127.3</v>
      </c>
      <c r="AE104" s="64">
        <v>127.1</v>
      </c>
      <c r="AF104" s="64">
        <v>128</v>
      </c>
      <c r="AG104" s="103"/>
      <c r="AH104" s="47">
        <f t="shared" si="10"/>
        <v>131.80000000000001</v>
      </c>
      <c r="AI104" s="48">
        <f t="shared" si="11"/>
        <v>125.9</v>
      </c>
    </row>
    <row r="105" spans="1:37" x14ac:dyDescent="0.25">
      <c r="A105" s="104" t="s">
        <v>113</v>
      </c>
      <c r="B105" s="64">
        <v>131.80000000000001</v>
      </c>
      <c r="C105" s="64">
        <v>130.9</v>
      </c>
      <c r="D105" s="64">
        <v>131.80000000000001</v>
      </c>
      <c r="E105" s="64">
        <v>133.9</v>
      </c>
      <c r="F105" s="64">
        <v>136.19999999999999</v>
      </c>
      <c r="G105" s="64">
        <v>132.9</v>
      </c>
      <c r="H105" s="64">
        <v>134.4</v>
      </c>
      <c r="I105" s="64">
        <v>133</v>
      </c>
      <c r="J105" s="64">
        <v>132.1</v>
      </c>
      <c r="K105" s="64">
        <v>133.5</v>
      </c>
      <c r="L105" s="64">
        <v>131</v>
      </c>
      <c r="M105" s="64">
        <v>129.4</v>
      </c>
      <c r="N105" s="64">
        <v>132.30000000000001</v>
      </c>
      <c r="O105" s="64">
        <v>130.19999999999999</v>
      </c>
      <c r="P105" s="64">
        <v>131.30000000000001</v>
      </c>
      <c r="Q105" s="64">
        <v>131</v>
      </c>
      <c r="R105" s="64">
        <v>131.19999999999999</v>
      </c>
      <c r="S105" s="64">
        <v>130.9</v>
      </c>
      <c r="T105" s="64">
        <v>132.6</v>
      </c>
      <c r="U105" s="64">
        <v>133</v>
      </c>
      <c r="V105" s="64">
        <v>133</v>
      </c>
      <c r="W105" s="64">
        <v>133</v>
      </c>
      <c r="X105" s="64">
        <v>133.9</v>
      </c>
      <c r="Y105" s="64">
        <v>130</v>
      </c>
      <c r="Z105" s="64">
        <v>130.9</v>
      </c>
      <c r="AA105" s="64">
        <v>129.80000000000001</v>
      </c>
      <c r="AB105" s="64">
        <v>130</v>
      </c>
      <c r="AC105" s="64">
        <v>129.6</v>
      </c>
      <c r="AD105" s="64">
        <v>130.5</v>
      </c>
      <c r="AE105" s="64">
        <v>130.80000000000001</v>
      </c>
      <c r="AF105" s="64">
        <v>131.6</v>
      </c>
      <c r="AG105" s="103"/>
      <c r="AH105" s="47">
        <f t="shared" si="10"/>
        <v>136.19999999999999</v>
      </c>
      <c r="AI105" s="48">
        <f t="shared" si="11"/>
        <v>129.4</v>
      </c>
    </row>
    <row r="106" spans="1:37" x14ac:dyDescent="0.25">
      <c r="A106" s="104" t="s">
        <v>114</v>
      </c>
      <c r="B106" s="105">
        <v>129.9</v>
      </c>
      <c r="C106" s="105">
        <v>129.4</v>
      </c>
      <c r="D106" s="105">
        <v>132.4</v>
      </c>
      <c r="E106" s="105">
        <v>130.5</v>
      </c>
      <c r="F106" s="105">
        <v>134.4</v>
      </c>
      <c r="G106" s="105">
        <v>129.9</v>
      </c>
      <c r="H106" s="105">
        <v>132.6</v>
      </c>
      <c r="I106" s="105">
        <v>130.69999999999999</v>
      </c>
      <c r="J106" s="105">
        <v>133</v>
      </c>
      <c r="K106" s="105">
        <v>131.9</v>
      </c>
      <c r="L106" s="105">
        <v>129</v>
      </c>
      <c r="M106" s="105">
        <v>130.4</v>
      </c>
      <c r="N106" s="105">
        <v>132.6</v>
      </c>
      <c r="O106" s="105">
        <v>132.6</v>
      </c>
      <c r="P106" s="105">
        <v>130.9</v>
      </c>
      <c r="Q106" s="105">
        <v>130.1</v>
      </c>
      <c r="R106" s="105">
        <v>133.69999999999999</v>
      </c>
      <c r="S106" s="105">
        <v>129.19999999999999</v>
      </c>
      <c r="T106" s="105"/>
      <c r="U106" s="105">
        <v>134</v>
      </c>
      <c r="V106" s="105">
        <v>134</v>
      </c>
      <c r="W106" s="105">
        <v>134</v>
      </c>
      <c r="X106" s="105">
        <v>133.9</v>
      </c>
      <c r="Y106" s="105">
        <v>133</v>
      </c>
      <c r="Z106" s="105">
        <v>134.80000000000001</v>
      </c>
      <c r="AA106" s="105">
        <v>133.5</v>
      </c>
      <c r="AB106" s="105">
        <v>131.30000000000001</v>
      </c>
      <c r="AC106" s="105">
        <v>132.30000000000001</v>
      </c>
      <c r="AD106" s="105">
        <v>131.6</v>
      </c>
      <c r="AE106" s="105">
        <v>131.1</v>
      </c>
      <c r="AF106" s="105">
        <v>134.1</v>
      </c>
      <c r="AG106" s="106"/>
      <c r="AH106" s="47">
        <f t="shared" si="10"/>
        <v>134.80000000000001</v>
      </c>
      <c r="AI106" s="48">
        <f t="shared" si="11"/>
        <v>129</v>
      </c>
    </row>
    <row r="107" spans="1:37" x14ac:dyDescent="0.25">
      <c r="A107" s="102" t="s">
        <v>115</v>
      </c>
      <c r="B107" s="64">
        <v>126.2</v>
      </c>
      <c r="C107" s="64">
        <v>126.2</v>
      </c>
      <c r="D107" s="64">
        <v>131.30000000000001</v>
      </c>
      <c r="E107" s="64">
        <v>128.30000000000001</v>
      </c>
      <c r="F107" s="64">
        <v>133</v>
      </c>
      <c r="G107" s="64">
        <v>129.19999999999999</v>
      </c>
      <c r="H107" s="64">
        <v>130.19999999999999</v>
      </c>
      <c r="I107" s="64">
        <v>133.1</v>
      </c>
      <c r="J107" s="64">
        <v>133.9</v>
      </c>
      <c r="K107" s="64">
        <v>129.69999999999999</v>
      </c>
      <c r="L107" s="64">
        <v>128.80000000000001</v>
      </c>
      <c r="M107" s="64">
        <v>126.7</v>
      </c>
      <c r="N107" s="64"/>
      <c r="O107" s="64"/>
      <c r="P107" s="64">
        <v>126.1</v>
      </c>
      <c r="Q107" s="64">
        <v>126.9</v>
      </c>
      <c r="R107" s="64">
        <v>134.4</v>
      </c>
      <c r="S107" s="64">
        <v>126.3</v>
      </c>
      <c r="T107" s="64">
        <v>132.1</v>
      </c>
      <c r="U107" s="64">
        <v>127</v>
      </c>
      <c r="V107" s="64">
        <v>127</v>
      </c>
      <c r="W107" s="64">
        <v>127</v>
      </c>
      <c r="X107" s="64">
        <v>127.3</v>
      </c>
      <c r="Y107" s="64">
        <v>128</v>
      </c>
      <c r="Z107" s="64">
        <v>129.80000000000001</v>
      </c>
      <c r="AA107" s="64">
        <v>130.1</v>
      </c>
      <c r="AB107" s="64">
        <v>131.19999999999999</v>
      </c>
      <c r="AC107" s="64">
        <v>131.9</v>
      </c>
      <c r="AD107" s="64">
        <v>131.19999999999999</v>
      </c>
      <c r="AE107" s="64">
        <v>131.30000000000001</v>
      </c>
      <c r="AF107" s="64">
        <v>135.69999999999999</v>
      </c>
      <c r="AG107" s="103"/>
      <c r="AH107" s="47">
        <f t="shared" si="10"/>
        <v>135.69999999999999</v>
      </c>
      <c r="AI107" s="48">
        <f t="shared" si="11"/>
        <v>126.1</v>
      </c>
    </row>
    <row r="108" spans="1:37" ht="15.75" thickBot="1" x14ac:dyDescent="0.3">
      <c r="A108" s="102" t="s">
        <v>116</v>
      </c>
      <c r="B108" s="91">
        <v>63.6</v>
      </c>
      <c r="C108" s="91">
        <v>63.5</v>
      </c>
      <c r="D108" s="91">
        <v>64.3</v>
      </c>
      <c r="E108" s="91">
        <v>64.8</v>
      </c>
      <c r="F108" s="91">
        <v>65</v>
      </c>
      <c r="G108" s="91">
        <v>64.7</v>
      </c>
      <c r="H108" s="91">
        <v>65.099999999999994</v>
      </c>
      <c r="I108" s="91">
        <v>63.7</v>
      </c>
      <c r="J108" s="91">
        <v>63.8</v>
      </c>
      <c r="K108" s="91">
        <v>63.7</v>
      </c>
      <c r="L108" s="91">
        <v>63</v>
      </c>
      <c r="M108" s="91">
        <v>63.8</v>
      </c>
      <c r="N108" s="91">
        <v>63.9</v>
      </c>
      <c r="O108" s="91">
        <v>63.9</v>
      </c>
      <c r="P108" s="91">
        <v>62.5</v>
      </c>
      <c r="Q108" s="91">
        <v>62.3</v>
      </c>
      <c r="R108" s="91">
        <v>63.9</v>
      </c>
      <c r="S108" s="91">
        <v>62.5</v>
      </c>
      <c r="T108" s="91">
        <v>63.1</v>
      </c>
      <c r="U108" s="91">
        <v>63.9</v>
      </c>
      <c r="V108" s="91">
        <v>63.9</v>
      </c>
      <c r="W108" s="91">
        <v>63.9</v>
      </c>
      <c r="X108" s="91">
        <v>64.3</v>
      </c>
      <c r="Y108" s="91">
        <v>63.4</v>
      </c>
      <c r="Z108" s="91">
        <v>63.1</v>
      </c>
      <c r="AA108" s="91">
        <v>63.7</v>
      </c>
      <c r="AB108" s="91">
        <v>64.3</v>
      </c>
      <c r="AC108" s="91">
        <v>64.5</v>
      </c>
      <c r="AD108" s="91">
        <v>65.099999999999994</v>
      </c>
      <c r="AE108" s="91">
        <v>65</v>
      </c>
      <c r="AF108" s="91">
        <v>65.2</v>
      </c>
      <c r="AG108" s="107"/>
      <c r="AH108" s="47">
        <f t="shared" si="10"/>
        <v>65.2</v>
      </c>
      <c r="AI108" s="48">
        <f t="shared" si="11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0"/>
        <v>0</v>
      </c>
      <c r="AI109" s="48">
        <f t="shared" si="11"/>
        <v>0</v>
      </c>
    </row>
    <row r="110" spans="1:37" ht="15.75" thickBot="1" x14ac:dyDescent="0.3">
      <c r="A110" s="109" t="s">
        <v>118</v>
      </c>
      <c r="B110" s="110">
        <v>51.799999999999969</v>
      </c>
      <c r="C110" s="110">
        <f t="shared" ref="C110:O110" si="18">SUM(C20,C26,C29:C30,C58,C60:C61,C63,C65,C111:C115,C138,C144,C150,C159,C161,C173,C180,C183:C184,C191,C193,C195,C199:C201,C203:C205,C210,C216:C217,C219:C221,C229,C234)</f>
        <v>31.340000000000007</v>
      </c>
      <c r="D110" s="110">
        <f t="shared" si="18"/>
        <v>22.939999999999984</v>
      </c>
      <c r="E110" s="110">
        <f t="shared" si="18"/>
        <v>19.840000000000007</v>
      </c>
      <c r="F110" s="110">
        <f t="shared" si="18"/>
        <v>44.339999999999975</v>
      </c>
      <c r="G110" s="110">
        <f t="shared" si="18"/>
        <v>41.04</v>
      </c>
      <c r="H110" s="110">
        <f t="shared" si="18"/>
        <v>63.839999999999996</v>
      </c>
      <c r="I110" s="110">
        <f t="shared" si="18"/>
        <v>113.24</v>
      </c>
      <c r="J110" s="110">
        <f t="shared" si="18"/>
        <v>125.43999999999998</v>
      </c>
      <c r="K110" s="110">
        <f t="shared" si="18"/>
        <v>186.04</v>
      </c>
      <c r="L110" s="110">
        <f t="shared" si="18"/>
        <v>217.54000000000002</v>
      </c>
      <c r="M110" s="110">
        <f t="shared" si="18"/>
        <v>219.94000000000003</v>
      </c>
      <c r="N110" s="110">
        <f t="shared" si="18"/>
        <v>187.34</v>
      </c>
      <c r="O110" s="110">
        <f t="shared" si="18"/>
        <v>180.23999999999998</v>
      </c>
      <c r="P110" s="110">
        <v>42</v>
      </c>
      <c r="Q110" s="110">
        <f>SUM(Q20,Q26,Q29:Q30,Q58,Q60:Q61,Q63,Q65,Q111:Q115,Q138,Q144,Q150,Q159,Q161,Q173,Q180,Q183:Q184,Q191,Q193,Q195,Q199:Q201,Q203:Q205,Q210,Q216:Q217,Q219:Q221,Q229,Q234)</f>
        <v>169.5</v>
      </c>
      <c r="R110" s="110">
        <f>SUM(R20,R26,R29:R30,R58,R60:R61,R63,R65,R111:R115,R138,R144,R150,R159,R161,R173,R180,R183:R184,R191,R193,R195,R199:R201,R203:R205,R210,R216:R217,R219:R221,R229,R234)</f>
        <v>180.6</v>
      </c>
      <c r="S110" s="110">
        <f t="shared" ref="S110:AF110" si="19">SUM(S20,S26,S29:S30,S58,S60:S61,S63,S65,S111:S115,S138,S144,S150,S159,S161,S173,S180,S183:S184,S191,S193,S195,S199:S201,S203:S205,S210,S216:S217,S219:S221,S229,S234)</f>
        <v>178.20000000000002</v>
      </c>
      <c r="T110" s="110">
        <f t="shared" si="19"/>
        <v>179.4</v>
      </c>
      <c r="U110" s="110">
        <f t="shared" si="19"/>
        <v>193.8</v>
      </c>
      <c r="V110" s="110">
        <f t="shared" si="19"/>
        <v>165</v>
      </c>
      <c r="W110" s="110">
        <f t="shared" si="19"/>
        <v>165</v>
      </c>
      <c r="X110" s="110">
        <f t="shared" si="19"/>
        <v>193.7</v>
      </c>
      <c r="Y110" s="110">
        <f t="shared" si="19"/>
        <v>204.1</v>
      </c>
      <c r="Z110" s="110">
        <f t="shared" si="19"/>
        <v>251.60000000000002</v>
      </c>
      <c r="AA110" s="110">
        <f t="shared" si="19"/>
        <v>243.5</v>
      </c>
      <c r="AB110" s="110">
        <f t="shared" si="19"/>
        <v>201.3</v>
      </c>
      <c r="AC110" s="110">
        <f t="shared" si="19"/>
        <v>168.8</v>
      </c>
      <c r="AD110" s="110"/>
      <c r="AE110" s="110">
        <f t="shared" si="19"/>
        <v>79.300000000000011</v>
      </c>
      <c r="AF110" s="110">
        <f t="shared" si="19"/>
        <v>52.900000000000006</v>
      </c>
      <c r="AG110" s="111"/>
      <c r="AH110" s="47">
        <f t="shared" si="10"/>
        <v>251.60000000000002</v>
      </c>
      <c r="AI110" s="48">
        <f t="shared" si="11"/>
        <v>19.840000000000007</v>
      </c>
    </row>
    <row r="111" spans="1:37" x14ac:dyDescent="0.25">
      <c r="A111" s="99" t="s">
        <v>119</v>
      </c>
      <c r="B111" s="112">
        <v>13</v>
      </c>
      <c r="C111" s="112">
        <v>10</v>
      </c>
      <c r="D111" s="112">
        <v>7.5</v>
      </c>
      <c r="E111" s="112">
        <v>7.9</v>
      </c>
      <c r="F111" s="112">
        <v>4</v>
      </c>
      <c r="G111" s="112">
        <v>7.9</v>
      </c>
      <c r="H111" s="112">
        <v>9.4</v>
      </c>
      <c r="I111" s="112">
        <v>10.199999999999999</v>
      </c>
      <c r="J111" s="112">
        <v>12.6</v>
      </c>
      <c r="K111" s="112">
        <v>25.5</v>
      </c>
      <c r="L111" s="112">
        <v>38.799999999999997</v>
      </c>
      <c r="M111" s="112">
        <v>39</v>
      </c>
      <c r="N111" s="112">
        <v>28.3</v>
      </c>
      <c r="O111" s="112">
        <v>10.6</v>
      </c>
      <c r="P111" s="112">
        <v>16</v>
      </c>
      <c r="Q111" s="112">
        <v>16.7</v>
      </c>
      <c r="R111" s="112">
        <v>17.2</v>
      </c>
      <c r="S111" s="112">
        <v>15.3</v>
      </c>
      <c r="T111" s="112">
        <v>20.7</v>
      </c>
      <c r="U111" s="112">
        <v>15</v>
      </c>
      <c r="V111" s="112">
        <v>14</v>
      </c>
      <c r="W111" s="112">
        <v>13</v>
      </c>
      <c r="X111" s="112">
        <v>25.7</v>
      </c>
      <c r="Y111" s="112">
        <v>36</v>
      </c>
      <c r="Z111" s="112">
        <v>39.1</v>
      </c>
      <c r="AA111" s="112">
        <v>35</v>
      </c>
      <c r="AB111" s="112">
        <v>36.700000000000003</v>
      </c>
      <c r="AC111" s="112">
        <v>30.4</v>
      </c>
      <c r="AD111" s="112">
        <v>19.5</v>
      </c>
      <c r="AE111" s="112">
        <v>21</v>
      </c>
      <c r="AF111" s="112">
        <v>13</v>
      </c>
      <c r="AG111" s="113">
        <v>75</v>
      </c>
      <c r="AH111" s="47">
        <f t="shared" si="10"/>
        <v>39.1</v>
      </c>
      <c r="AI111" s="48">
        <f t="shared" si="11"/>
        <v>4</v>
      </c>
    </row>
    <row r="112" spans="1:37" x14ac:dyDescent="0.25">
      <c r="A112" s="102" t="s">
        <v>120</v>
      </c>
      <c r="B112" s="114">
        <v>22</v>
      </c>
      <c r="C112" s="114">
        <v>16.899999999999999</v>
      </c>
      <c r="D112" s="114">
        <v>12.5</v>
      </c>
      <c r="E112" s="114">
        <v>14.3</v>
      </c>
      <c r="F112" s="114">
        <v>10.199999999999999</v>
      </c>
      <c r="G112" s="114">
        <v>12.9</v>
      </c>
      <c r="H112" s="114">
        <v>14.2</v>
      </c>
      <c r="I112" s="114">
        <v>12.9</v>
      </c>
      <c r="J112" s="114">
        <v>17.2</v>
      </c>
      <c r="K112" s="114">
        <v>34.6</v>
      </c>
      <c r="L112" s="114">
        <v>50</v>
      </c>
      <c r="M112" s="114">
        <v>51.6</v>
      </c>
      <c r="N112" s="114">
        <v>32.700000000000003</v>
      </c>
      <c r="O112" s="114">
        <v>5.2</v>
      </c>
      <c r="P112" s="114">
        <v>15.4</v>
      </c>
      <c r="Q112" s="114">
        <v>17.5</v>
      </c>
      <c r="R112" s="114">
        <v>16.8</v>
      </c>
      <c r="S112" s="114">
        <v>16.2</v>
      </c>
      <c r="T112" s="114">
        <v>22.9</v>
      </c>
      <c r="U112" s="114">
        <v>13</v>
      </c>
      <c r="V112" s="114">
        <v>10</v>
      </c>
      <c r="W112" s="114">
        <v>9</v>
      </c>
      <c r="X112" s="114">
        <v>27.3</v>
      </c>
      <c r="Y112" s="114">
        <v>47</v>
      </c>
      <c r="Z112" s="114">
        <v>53.5</v>
      </c>
      <c r="AA112" s="114">
        <v>47.7</v>
      </c>
      <c r="AB112" s="114">
        <v>50.6</v>
      </c>
      <c r="AC112" s="114">
        <v>40</v>
      </c>
      <c r="AD112" s="114">
        <v>23.5</v>
      </c>
      <c r="AE112" s="114">
        <v>27.4</v>
      </c>
      <c r="AF112" s="114">
        <v>19</v>
      </c>
      <c r="AG112" s="113">
        <v>240</v>
      </c>
      <c r="AH112" s="47">
        <f t="shared" si="10"/>
        <v>53.5</v>
      </c>
      <c r="AI112" s="48">
        <f t="shared" si="11"/>
        <v>5.2</v>
      </c>
    </row>
    <row r="113" spans="1:37" x14ac:dyDescent="0.25">
      <c r="A113" s="102" t="s">
        <v>121</v>
      </c>
      <c r="B113" s="114">
        <f>-66-73.2</f>
        <v>-139.19999999999999</v>
      </c>
      <c r="C113" s="114">
        <f>-66.9-70.5</f>
        <v>-137.4</v>
      </c>
      <c r="D113" s="114">
        <f>-68.2-71.2</f>
        <v>-139.4</v>
      </c>
      <c r="E113" s="114">
        <f>-70-74</f>
        <v>-144</v>
      </c>
      <c r="F113" s="114">
        <v>-134</v>
      </c>
      <c r="G113" s="114">
        <f>-63-66</f>
        <v>-129</v>
      </c>
      <c r="H113" s="114">
        <f>-58-60</f>
        <v>-118</v>
      </c>
      <c r="I113" s="114">
        <f>-35-38</f>
        <v>-73</v>
      </c>
      <c r="J113" s="114">
        <f>-32.6-37</f>
        <v>-69.599999999999994</v>
      </c>
      <c r="K113" s="114">
        <f>-29-32</f>
        <v>-61</v>
      </c>
      <c r="L113" s="114">
        <f>-28-31</f>
        <v>-59</v>
      </c>
      <c r="M113" s="114">
        <v>-60</v>
      </c>
      <c r="N113" s="114">
        <v>-50</v>
      </c>
      <c r="O113" s="114">
        <v>-34</v>
      </c>
      <c r="P113" s="114">
        <v>-62</v>
      </c>
      <c r="Q113" s="114">
        <v>-72</v>
      </c>
      <c r="R113" s="114">
        <v>-65</v>
      </c>
      <c r="S113" s="114">
        <v>-65</v>
      </c>
      <c r="T113" s="114">
        <v>-69</v>
      </c>
      <c r="U113" s="114">
        <v>-44</v>
      </c>
      <c r="V113" s="114">
        <v>-40</v>
      </c>
      <c r="W113" s="114">
        <v>-36</v>
      </c>
      <c r="X113" s="114">
        <v>-42</v>
      </c>
      <c r="Y113" s="114">
        <v>-60</v>
      </c>
      <c r="Z113" s="114">
        <v>-67.8</v>
      </c>
      <c r="AA113" s="114">
        <v>-72</v>
      </c>
      <c r="AB113" s="114">
        <v>-105</v>
      </c>
      <c r="AC113" s="114">
        <v>-116</v>
      </c>
      <c r="AD113" s="114">
        <v>-94</v>
      </c>
      <c r="AE113" s="114">
        <v>-127</v>
      </c>
      <c r="AF113" s="114">
        <v>-132</v>
      </c>
      <c r="AG113" s="113">
        <v>240</v>
      </c>
      <c r="AH113" s="47">
        <f t="shared" si="10"/>
        <v>-34</v>
      </c>
      <c r="AI113" s="48">
        <f t="shared" si="11"/>
        <v>-144</v>
      </c>
    </row>
    <row r="114" spans="1:37" x14ac:dyDescent="0.25">
      <c r="A114" s="102" t="s">
        <v>122</v>
      </c>
      <c r="B114" s="114">
        <v>-22.9</v>
      </c>
      <c r="C114" s="114">
        <v>-21</v>
      </c>
      <c r="D114" s="114">
        <v>-20.8</v>
      </c>
      <c r="E114" s="114">
        <v>-12.5</v>
      </c>
      <c r="F114" s="114">
        <v>8</v>
      </c>
      <c r="G114" s="114">
        <v>-6.9</v>
      </c>
      <c r="H114" s="114">
        <v>-4.5999999999999996</v>
      </c>
      <c r="I114" s="114">
        <v>-0.8</v>
      </c>
      <c r="J114" s="114">
        <v>1.3</v>
      </c>
      <c r="K114" s="114">
        <v>5.0999999999999996</v>
      </c>
      <c r="L114" s="114">
        <v>4.8</v>
      </c>
      <c r="M114" s="114">
        <v>6.4</v>
      </c>
      <c r="N114" s="114">
        <v>8.4</v>
      </c>
      <c r="O114" s="114">
        <v>9.8000000000000007</v>
      </c>
      <c r="P114" s="114">
        <v>6</v>
      </c>
      <c r="Q114" s="114">
        <v>8</v>
      </c>
      <c r="R114" s="114">
        <v>7.7</v>
      </c>
      <c r="S114" s="114">
        <v>9.4</v>
      </c>
      <c r="T114" s="114">
        <v>7</v>
      </c>
      <c r="U114" s="114">
        <v>12</v>
      </c>
      <c r="V114" s="114">
        <v>10</v>
      </c>
      <c r="W114" s="114">
        <v>10</v>
      </c>
      <c r="X114" s="114">
        <v>14.1</v>
      </c>
      <c r="Y114" s="114">
        <v>13</v>
      </c>
      <c r="Z114" s="114">
        <v>8.6</v>
      </c>
      <c r="AA114" s="114">
        <v>9.4</v>
      </c>
      <c r="AB114" s="114">
        <v>5</v>
      </c>
      <c r="AC114" s="114">
        <v>1.5</v>
      </c>
      <c r="AD114" s="114">
        <v>3</v>
      </c>
      <c r="AE114" s="114">
        <v>-4</v>
      </c>
      <c r="AF114" s="114">
        <v>-9</v>
      </c>
      <c r="AG114" s="113">
        <v>60</v>
      </c>
      <c r="AH114" s="47">
        <f t="shared" si="10"/>
        <v>14.1</v>
      </c>
      <c r="AI114" s="48">
        <f t="shared" si="11"/>
        <v>-22.9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20.7</v>
      </c>
      <c r="P115" s="116">
        <v>21</v>
      </c>
      <c r="Q115" s="116">
        <v>32.299999999999997</v>
      </c>
      <c r="R115" s="116">
        <v>31.9</v>
      </c>
      <c r="S115" s="116">
        <v>24.4</v>
      </c>
      <c r="T115" s="116">
        <v>25</v>
      </c>
      <c r="U115" s="116">
        <v>25</v>
      </c>
      <c r="V115" s="116">
        <v>22</v>
      </c>
      <c r="W115" s="116">
        <v>24</v>
      </c>
      <c r="X115" s="116">
        <v>23.5</v>
      </c>
      <c r="Y115" s="116">
        <v>23</v>
      </c>
      <c r="Z115" s="116">
        <v>35.200000000000003</v>
      </c>
      <c r="AA115" s="116">
        <v>35.4</v>
      </c>
      <c r="AB115" s="116">
        <v>36</v>
      </c>
      <c r="AC115" s="116">
        <v>36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0"/>
        <v>36</v>
      </c>
      <c r="AI115" s="48">
        <f t="shared" si="11"/>
        <v>0</v>
      </c>
    </row>
    <row r="116" spans="1:37" x14ac:dyDescent="0.25">
      <c r="A116" s="115" t="s">
        <v>124</v>
      </c>
      <c r="B116" s="116">
        <v>59.1</v>
      </c>
      <c r="C116" s="116">
        <v>61.1</v>
      </c>
      <c r="D116" s="116">
        <v>68.5</v>
      </c>
      <c r="E116" s="116">
        <v>39.299999999999997</v>
      </c>
      <c r="F116" s="116">
        <v>66.400000000000006</v>
      </c>
      <c r="G116" s="116">
        <v>64.599999999999994</v>
      </c>
      <c r="H116" s="116">
        <v>64.3</v>
      </c>
      <c r="I116" s="116">
        <v>83.8</v>
      </c>
      <c r="J116" s="116">
        <v>88.8</v>
      </c>
      <c r="K116" s="116">
        <v>85.4</v>
      </c>
      <c r="L116" s="116">
        <v>69.900000000000006</v>
      </c>
      <c r="M116" s="116">
        <v>45.4</v>
      </c>
      <c r="N116" s="116">
        <v>53.8</v>
      </c>
      <c r="O116" s="116">
        <v>91.3</v>
      </c>
      <c r="P116" s="116">
        <v>74</v>
      </c>
      <c r="Q116" s="116">
        <v>84.1</v>
      </c>
      <c r="R116" s="116">
        <v>29.4</v>
      </c>
      <c r="S116" s="116">
        <v>87.8</v>
      </c>
      <c r="T116" s="116">
        <v>86.9</v>
      </c>
      <c r="U116" s="116">
        <v>82</v>
      </c>
      <c r="V116" s="116">
        <v>70</v>
      </c>
      <c r="W116" s="116">
        <v>67</v>
      </c>
      <c r="X116" s="116">
        <v>58</v>
      </c>
      <c r="Y116" s="116">
        <v>51</v>
      </c>
      <c r="Z116" s="116">
        <v>60.6</v>
      </c>
      <c r="AA116" s="116">
        <v>59.9</v>
      </c>
      <c r="AB116" s="116">
        <v>25</v>
      </c>
      <c r="AC116" s="116">
        <v>25</v>
      </c>
      <c r="AD116" s="116">
        <v>52</v>
      </c>
      <c r="AE116" s="116">
        <v>35</v>
      </c>
      <c r="AF116" s="116">
        <v>54</v>
      </c>
      <c r="AG116" s="117"/>
      <c r="AH116" s="47">
        <f t="shared" si="10"/>
        <v>91.3</v>
      </c>
      <c r="AI116" s="48">
        <f t="shared" si="11"/>
        <v>25</v>
      </c>
    </row>
    <row r="117" spans="1:37" x14ac:dyDescent="0.25">
      <c r="A117" s="115" t="s">
        <v>125</v>
      </c>
      <c r="B117" s="116">
        <v>5.5</v>
      </c>
      <c r="C117" s="116">
        <v>2.7</v>
      </c>
      <c r="D117" s="116">
        <v>6.7</v>
      </c>
      <c r="E117" s="116">
        <v>0</v>
      </c>
      <c r="F117" s="116">
        <v>7</v>
      </c>
      <c r="G117" s="116">
        <v>-1.8</v>
      </c>
      <c r="H117" s="116">
        <v>2.5</v>
      </c>
      <c r="I117" s="116">
        <v>5.3</v>
      </c>
      <c r="J117" s="116">
        <v>0</v>
      </c>
      <c r="K117" s="116">
        <v>-13</v>
      </c>
      <c r="L117" s="116">
        <v>-18.3</v>
      </c>
      <c r="M117" s="116">
        <v>-22.7</v>
      </c>
      <c r="N117" s="116">
        <v>-19</v>
      </c>
      <c r="O117" s="116">
        <v>-2.4</v>
      </c>
      <c r="P117" s="116">
        <v>-3.2</v>
      </c>
      <c r="Q117" s="116">
        <v>-7.1</v>
      </c>
      <c r="R117" s="116">
        <v>-14.2</v>
      </c>
      <c r="S117" s="116">
        <v>-7.3</v>
      </c>
      <c r="T117" s="116">
        <v>-19.600000000000001</v>
      </c>
      <c r="U117" s="116">
        <v>18</v>
      </c>
      <c r="V117" s="116">
        <v>18</v>
      </c>
      <c r="W117" s="116">
        <v>18</v>
      </c>
      <c r="X117" s="116">
        <v>-21.1</v>
      </c>
      <c r="Y117" s="116">
        <v>6</v>
      </c>
      <c r="Z117" s="116">
        <v>-1.5</v>
      </c>
      <c r="AA117" s="116">
        <v>0</v>
      </c>
      <c r="AB117" s="116">
        <v>-7</v>
      </c>
      <c r="AC117" s="116">
        <v>-11.3</v>
      </c>
      <c r="AD117" s="116">
        <v>3</v>
      </c>
      <c r="AE117" s="116">
        <v>-4</v>
      </c>
      <c r="AF117" s="116">
        <v>9</v>
      </c>
      <c r="AG117" s="118"/>
      <c r="AH117" s="47">
        <f t="shared" si="10"/>
        <v>18</v>
      </c>
      <c r="AI117" s="48">
        <f t="shared" si="11"/>
        <v>-22.7</v>
      </c>
    </row>
    <row r="118" spans="1:37" x14ac:dyDescent="0.25">
      <c r="A118" s="119" t="s">
        <v>126</v>
      </c>
      <c r="B118" s="105">
        <v>31.2</v>
      </c>
      <c r="C118" s="105">
        <v>40.299999999999997</v>
      </c>
      <c r="D118" s="105">
        <v>42.5</v>
      </c>
      <c r="E118" s="105">
        <v>56.1</v>
      </c>
      <c r="F118" s="105"/>
      <c r="G118" s="105"/>
      <c r="H118" s="105">
        <v>95</v>
      </c>
      <c r="I118" s="105"/>
      <c r="J118" s="105"/>
      <c r="K118" s="105"/>
      <c r="L118" s="105"/>
      <c r="M118" s="105">
        <v>62.1</v>
      </c>
      <c r="N118" s="105"/>
      <c r="O118" s="105">
        <v>62.8</v>
      </c>
      <c r="P118" s="105">
        <v>52.9</v>
      </c>
      <c r="Q118" s="105">
        <v>57.2</v>
      </c>
      <c r="R118" s="105">
        <v>46.2</v>
      </c>
      <c r="S118" s="105">
        <v>62.8</v>
      </c>
      <c r="T118" s="105">
        <v>57.1</v>
      </c>
      <c r="U118" s="105">
        <v>46</v>
      </c>
      <c r="V118" s="105">
        <v>30</v>
      </c>
      <c r="W118" s="105">
        <v>18</v>
      </c>
      <c r="X118" s="105">
        <v>45</v>
      </c>
      <c r="Y118" s="105">
        <v>37</v>
      </c>
      <c r="Z118" s="105">
        <v>36</v>
      </c>
      <c r="AA118" s="105">
        <v>36.200000000000003</v>
      </c>
      <c r="AB118" s="105">
        <v>39</v>
      </c>
      <c r="AC118" s="105">
        <v>42</v>
      </c>
      <c r="AD118" s="105">
        <v>42</v>
      </c>
      <c r="AE118" s="105">
        <v>45</v>
      </c>
      <c r="AF118" s="105">
        <v>48</v>
      </c>
      <c r="AG118" s="118"/>
      <c r="AH118" s="47">
        <f t="shared" si="10"/>
        <v>95</v>
      </c>
      <c r="AI118" s="48">
        <f t="shared" si="11"/>
        <v>18</v>
      </c>
    </row>
    <row r="119" spans="1:37" x14ac:dyDescent="0.25">
      <c r="A119" s="120" t="s">
        <v>127</v>
      </c>
      <c r="B119" s="105">
        <v>93.5</v>
      </c>
      <c r="C119" s="105">
        <v>91.7</v>
      </c>
      <c r="D119" s="105">
        <v>85.6</v>
      </c>
      <c r="E119" s="105">
        <v>99.5</v>
      </c>
      <c r="F119" s="105">
        <v>89.9</v>
      </c>
      <c r="G119" s="105">
        <v>89.4</v>
      </c>
      <c r="H119" s="105">
        <v>75.900000000000006</v>
      </c>
      <c r="I119" s="105"/>
      <c r="J119" s="105">
        <v>82.9</v>
      </c>
      <c r="K119" s="105">
        <v>84</v>
      </c>
      <c r="L119" s="105">
        <v>85.6</v>
      </c>
      <c r="M119" s="105">
        <v>94.8</v>
      </c>
      <c r="N119" s="105">
        <v>65.099999999999994</v>
      </c>
      <c r="O119" s="105">
        <v>19.3</v>
      </c>
      <c r="P119" s="105">
        <v>50.3</v>
      </c>
      <c r="Q119" s="105">
        <v>75</v>
      </c>
      <c r="R119" s="105">
        <v>53.5</v>
      </c>
      <c r="S119" s="105">
        <v>56.8</v>
      </c>
      <c r="T119" s="105">
        <v>73.8</v>
      </c>
      <c r="U119" s="105">
        <v>32</v>
      </c>
      <c r="V119" s="105">
        <v>30</v>
      </c>
      <c r="W119" s="105">
        <v>20</v>
      </c>
      <c r="X119" s="105">
        <v>40.200000000000003</v>
      </c>
      <c r="Y119" s="105">
        <v>82</v>
      </c>
      <c r="Z119" s="105">
        <v>91.9</v>
      </c>
      <c r="AA119" s="105">
        <v>92.1</v>
      </c>
      <c r="AB119" s="105">
        <v>76</v>
      </c>
      <c r="AC119" s="105">
        <v>81</v>
      </c>
      <c r="AD119" s="105">
        <v>59</v>
      </c>
      <c r="AE119" s="105">
        <v>88</v>
      </c>
      <c r="AF119" s="105">
        <v>82</v>
      </c>
      <c r="AG119" s="118"/>
      <c r="AH119" s="47">
        <f t="shared" si="10"/>
        <v>99.5</v>
      </c>
      <c r="AI119" s="48">
        <f t="shared" si="11"/>
        <v>19.3</v>
      </c>
    </row>
    <row r="120" spans="1:37" ht="15.75" thickBot="1" x14ac:dyDescent="0.3">
      <c r="A120" s="119" t="s">
        <v>128</v>
      </c>
      <c r="B120" s="105">
        <v>39.1</v>
      </c>
      <c r="C120" s="105">
        <v>27.9</v>
      </c>
      <c r="D120" s="105"/>
      <c r="E120" s="105">
        <v>16.5</v>
      </c>
      <c r="F120" s="105">
        <v>-12.9</v>
      </c>
      <c r="G120" s="105">
        <v>-26.8</v>
      </c>
      <c r="H120" s="105">
        <v>-41.2</v>
      </c>
      <c r="I120" s="105"/>
      <c r="J120" s="105">
        <v>-29.9</v>
      </c>
      <c r="K120" s="105">
        <v>-22.4</v>
      </c>
      <c r="L120" s="105">
        <v>-12.7</v>
      </c>
      <c r="M120" s="105">
        <v>-6.4</v>
      </c>
      <c r="N120" s="105">
        <v>-14.5</v>
      </c>
      <c r="O120" s="105">
        <v>-2.8</v>
      </c>
      <c r="P120" s="105">
        <v>-4.3</v>
      </c>
      <c r="Q120" s="105">
        <v>-10</v>
      </c>
      <c r="R120" s="105">
        <v>7</v>
      </c>
      <c r="S120" s="105">
        <v>-8.4</v>
      </c>
      <c r="T120" s="105">
        <v>-3.8</v>
      </c>
      <c r="U120" s="105">
        <v>-5</v>
      </c>
      <c r="V120" s="105">
        <v>-4</v>
      </c>
      <c r="W120" s="105">
        <v>1</v>
      </c>
      <c r="X120" s="105">
        <v>-11</v>
      </c>
      <c r="Y120" s="105">
        <v>1.3</v>
      </c>
      <c r="Z120" s="105">
        <v>8.9</v>
      </c>
      <c r="AA120" s="105">
        <v>7.6</v>
      </c>
      <c r="AB120" s="105">
        <v>18</v>
      </c>
      <c r="AC120" s="105">
        <v>18.100000000000001</v>
      </c>
      <c r="AD120" s="105">
        <v>20</v>
      </c>
      <c r="AE120" s="105">
        <v>21</v>
      </c>
      <c r="AF120" s="105">
        <v>15</v>
      </c>
      <c r="AG120" s="118"/>
      <c r="AH120" s="47">
        <f t="shared" si="10"/>
        <v>39.1</v>
      </c>
      <c r="AI120" s="48">
        <f t="shared" si="11"/>
        <v>-41.2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0">SUM(B122:B226)</f>
        <v>0</v>
      </c>
      <c r="C227" s="136">
        <f t="shared" si="20"/>
        <v>0</v>
      </c>
      <c r="D227" s="136">
        <f t="shared" si="20"/>
        <v>0</v>
      </c>
      <c r="E227" s="136">
        <f t="shared" si="20"/>
        <v>0</v>
      </c>
      <c r="F227" s="136">
        <f t="shared" si="20"/>
        <v>0</v>
      </c>
      <c r="G227" s="136">
        <f t="shared" si="20"/>
        <v>0</v>
      </c>
      <c r="H227" s="136">
        <f t="shared" si="20"/>
        <v>0</v>
      </c>
      <c r="I227" s="136">
        <f t="shared" si="20"/>
        <v>0</v>
      </c>
      <c r="J227" s="136">
        <f t="shared" si="20"/>
        <v>0</v>
      </c>
      <c r="K227" s="136">
        <f t="shared" si="20"/>
        <v>0</v>
      </c>
      <c r="L227" s="136">
        <f t="shared" si="20"/>
        <v>0</v>
      </c>
      <c r="M227" s="136">
        <f t="shared" si="20"/>
        <v>0</v>
      </c>
      <c r="N227" s="136">
        <f t="shared" si="20"/>
        <v>0</v>
      </c>
      <c r="O227" s="136">
        <f t="shared" si="20"/>
        <v>0</v>
      </c>
      <c r="P227" s="136">
        <f t="shared" si="20"/>
        <v>0</v>
      </c>
      <c r="Q227" s="136">
        <f t="shared" si="20"/>
        <v>0</v>
      </c>
      <c r="R227" s="136">
        <f t="shared" si="20"/>
        <v>0</v>
      </c>
      <c r="S227" s="136">
        <f t="shared" si="20"/>
        <v>0</v>
      </c>
      <c r="T227" s="136">
        <f t="shared" si="20"/>
        <v>0</v>
      </c>
      <c r="U227" s="136">
        <f t="shared" si="20"/>
        <v>0</v>
      </c>
      <c r="V227" s="136">
        <f t="shared" si="20"/>
        <v>0</v>
      </c>
      <c r="W227" s="136">
        <f t="shared" si="20"/>
        <v>0</v>
      </c>
      <c r="X227" s="136">
        <f t="shared" si="20"/>
        <v>0</v>
      </c>
      <c r="Y227" s="136">
        <f t="shared" si="20"/>
        <v>0</v>
      </c>
      <c r="Z227" s="136">
        <f t="shared" si="20"/>
        <v>0</v>
      </c>
      <c r="AA227" s="136">
        <f t="shared" si="20"/>
        <v>0</v>
      </c>
      <c r="AB227" s="136">
        <f t="shared" si="20"/>
        <v>0</v>
      </c>
      <c r="AC227" s="136">
        <f t="shared" si="20"/>
        <v>0</v>
      </c>
      <c r="AD227" s="136">
        <f t="shared" si="20"/>
        <v>0</v>
      </c>
      <c r="AE227" s="136">
        <f t="shared" si="20"/>
        <v>0</v>
      </c>
      <c r="AF227" s="137">
        <f t="shared" si="20"/>
        <v>0</v>
      </c>
      <c r="AG227" s="138">
        <f t="shared" si="20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1">AF229</f>
        <v>0</v>
      </c>
      <c r="C229" s="140">
        <v>0.3</v>
      </c>
      <c r="D229" s="140">
        <f t="shared" ref="D229:P234" si="22">C229</f>
        <v>0.3</v>
      </c>
      <c r="E229" s="140">
        <f t="shared" si="22"/>
        <v>0.3</v>
      </c>
      <c r="F229" s="140">
        <f t="shared" si="22"/>
        <v>0.3</v>
      </c>
      <c r="G229" s="140">
        <f t="shared" si="22"/>
        <v>0.3</v>
      </c>
      <c r="H229" s="140">
        <f t="shared" si="22"/>
        <v>0.3</v>
      </c>
      <c r="I229" s="140">
        <f t="shared" si="22"/>
        <v>0.3</v>
      </c>
      <c r="J229" s="140">
        <f t="shared" si="22"/>
        <v>0.3</v>
      </c>
      <c r="K229" s="140">
        <f t="shared" si="22"/>
        <v>0.3</v>
      </c>
      <c r="L229" s="140">
        <f t="shared" si="22"/>
        <v>0.3</v>
      </c>
      <c r="M229" s="140">
        <f t="shared" si="22"/>
        <v>0.3</v>
      </c>
      <c r="N229" s="140">
        <f t="shared" si="22"/>
        <v>0.3</v>
      </c>
      <c r="O229" s="140">
        <f t="shared" si="22"/>
        <v>0.3</v>
      </c>
      <c r="P229" s="140">
        <f t="shared" si="22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1"/>
        <v>0</v>
      </c>
      <c r="C230" s="128">
        <v>0.4</v>
      </c>
      <c r="D230" s="128">
        <f t="shared" si="22"/>
        <v>0.4</v>
      </c>
      <c r="E230" s="128">
        <f t="shared" si="22"/>
        <v>0.4</v>
      </c>
      <c r="F230" s="128">
        <f t="shared" si="22"/>
        <v>0.4</v>
      </c>
      <c r="G230" s="128">
        <f t="shared" si="22"/>
        <v>0.4</v>
      </c>
      <c r="H230" s="128">
        <f t="shared" si="22"/>
        <v>0.4</v>
      </c>
      <c r="I230" s="128">
        <f t="shared" si="22"/>
        <v>0.4</v>
      </c>
      <c r="J230" s="128">
        <f t="shared" si="22"/>
        <v>0.4</v>
      </c>
      <c r="K230" s="128">
        <f t="shared" si="22"/>
        <v>0.4</v>
      </c>
      <c r="L230" s="128">
        <f t="shared" si="22"/>
        <v>0.4</v>
      </c>
      <c r="M230" s="128">
        <f t="shared" si="22"/>
        <v>0.4</v>
      </c>
      <c r="N230" s="128">
        <f t="shared" si="22"/>
        <v>0.4</v>
      </c>
      <c r="O230" s="128">
        <f t="shared" si="22"/>
        <v>0.4</v>
      </c>
      <c r="P230" s="128">
        <f t="shared" si="22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1"/>
        <v>0</v>
      </c>
      <c r="C231" s="128">
        <v>1.5</v>
      </c>
      <c r="D231" s="128">
        <f t="shared" si="22"/>
        <v>1.5</v>
      </c>
      <c r="E231" s="128">
        <f t="shared" si="22"/>
        <v>1.5</v>
      </c>
      <c r="F231" s="128">
        <f t="shared" si="22"/>
        <v>1.5</v>
      </c>
      <c r="G231" s="128">
        <f t="shared" si="22"/>
        <v>1.5</v>
      </c>
      <c r="H231" s="128">
        <f t="shared" si="22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2"/>
        <v>123.21900000000009</v>
      </c>
      <c r="K231" s="128">
        <f t="shared" ca="1" si="22"/>
        <v>123.21900000000009</v>
      </c>
      <c r="L231" s="128">
        <f t="shared" ca="1" si="22"/>
        <v>123.21900000000009</v>
      </c>
      <c r="M231" s="128">
        <f t="shared" ca="1" si="22"/>
        <v>119.19900000000008</v>
      </c>
      <c r="N231" s="128">
        <f t="shared" ca="1" si="22"/>
        <v>119.19900000000008</v>
      </c>
      <c r="O231" s="128">
        <f t="shared" ca="1" si="22"/>
        <v>119.19900000000008</v>
      </c>
      <c r="P231" s="128">
        <f t="shared" ca="1" si="22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1"/>
        <v>0</v>
      </c>
      <c r="C232" s="128">
        <v>0.3</v>
      </c>
      <c r="D232" s="128">
        <f t="shared" si="22"/>
        <v>0.3</v>
      </c>
      <c r="E232" s="128">
        <f t="shared" si="22"/>
        <v>0.3</v>
      </c>
      <c r="F232" s="128">
        <f t="shared" si="22"/>
        <v>0.3</v>
      </c>
      <c r="G232" s="128">
        <f t="shared" si="22"/>
        <v>0.3</v>
      </c>
      <c r="H232" s="128">
        <f t="shared" si="22"/>
        <v>0.3</v>
      </c>
      <c r="I232" s="128">
        <f t="shared" si="22"/>
        <v>0.3</v>
      </c>
      <c r="J232" s="128">
        <f t="shared" si="22"/>
        <v>0.3</v>
      </c>
      <c r="K232" s="128">
        <f t="shared" si="22"/>
        <v>0.3</v>
      </c>
      <c r="L232" s="128">
        <f t="shared" si="22"/>
        <v>0.3</v>
      </c>
      <c r="M232" s="128">
        <f t="shared" si="22"/>
        <v>0.3</v>
      </c>
      <c r="N232" s="128">
        <f t="shared" si="22"/>
        <v>0.3</v>
      </c>
      <c r="O232" s="128">
        <f t="shared" si="22"/>
        <v>0.3</v>
      </c>
      <c r="P232" s="128">
        <f t="shared" si="22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1"/>
        <v>0</v>
      </c>
      <c r="C233" s="128">
        <v>0.4</v>
      </c>
      <c r="D233" s="128">
        <f t="shared" si="22"/>
        <v>0.4</v>
      </c>
      <c r="E233" s="128">
        <f t="shared" si="22"/>
        <v>0.4</v>
      </c>
      <c r="F233" s="128">
        <f t="shared" si="22"/>
        <v>0.4</v>
      </c>
      <c r="G233" s="128">
        <f t="shared" si="22"/>
        <v>0.4</v>
      </c>
      <c r="H233" s="128">
        <f t="shared" si="22"/>
        <v>0.4</v>
      </c>
      <c r="I233" s="128">
        <f t="shared" si="22"/>
        <v>0.4</v>
      </c>
      <c r="J233" s="128">
        <f t="shared" si="22"/>
        <v>0.4</v>
      </c>
      <c r="K233" s="128">
        <f t="shared" si="22"/>
        <v>0.4</v>
      </c>
      <c r="L233" s="128">
        <f t="shared" si="22"/>
        <v>0.4</v>
      </c>
      <c r="M233" s="128">
        <f t="shared" si="22"/>
        <v>0.4</v>
      </c>
      <c r="N233" s="128">
        <f t="shared" si="22"/>
        <v>0.4</v>
      </c>
      <c r="O233" s="128">
        <f t="shared" si="22"/>
        <v>0.4</v>
      </c>
      <c r="P233" s="128">
        <f t="shared" si="22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1"/>
        <v>0</v>
      </c>
      <c r="C234" s="132">
        <v>0.64</v>
      </c>
      <c r="D234" s="132">
        <f t="shared" si="22"/>
        <v>0.64</v>
      </c>
      <c r="E234" s="132">
        <f t="shared" si="22"/>
        <v>0.64</v>
      </c>
      <c r="F234" s="132">
        <f t="shared" si="22"/>
        <v>0.64</v>
      </c>
      <c r="G234" s="132">
        <f t="shared" si="22"/>
        <v>0.64</v>
      </c>
      <c r="H234" s="132">
        <f t="shared" si="22"/>
        <v>0.64</v>
      </c>
      <c r="I234" s="132">
        <f t="shared" si="22"/>
        <v>0.64</v>
      </c>
      <c r="J234" s="132">
        <f t="shared" si="22"/>
        <v>0.64</v>
      </c>
      <c r="K234" s="132">
        <f t="shared" si="22"/>
        <v>0.64</v>
      </c>
      <c r="L234" s="132">
        <f t="shared" si="22"/>
        <v>0.64</v>
      </c>
      <c r="M234" s="132">
        <f t="shared" si="22"/>
        <v>0.64</v>
      </c>
      <c r="N234" s="132">
        <f t="shared" si="22"/>
        <v>0.64</v>
      </c>
      <c r="O234" s="132">
        <f t="shared" si="22"/>
        <v>0.64</v>
      </c>
      <c r="P234" s="132">
        <f t="shared" si="22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3">SUM(B229:B234)</f>
        <v>0</v>
      </c>
      <c r="C235" s="136">
        <f t="shared" si="23"/>
        <v>3.54</v>
      </c>
      <c r="D235" s="136">
        <f t="shared" si="23"/>
        <v>3.54</v>
      </c>
      <c r="E235" s="136">
        <f t="shared" si="23"/>
        <v>3.54</v>
      </c>
      <c r="F235" s="136">
        <f t="shared" si="23"/>
        <v>3.54</v>
      </c>
      <c r="G235" s="136">
        <f t="shared" si="23"/>
        <v>3.54</v>
      </c>
      <c r="H235" s="136">
        <f t="shared" si="23"/>
        <v>3.54</v>
      </c>
      <c r="I235" s="136">
        <f t="shared" ca="1" si="23"/>
        <v>121.23900000000009</v>
      </c>
      <c r="J235" s="136">
        <f t="shared" ca="1" si="23"/>
        <v>121.23900000000009</v>
      </c>
      <c r="K235" s="136">
        <f t="shared" ca="1" si="23"/>
        <v>121.23900000000009</v>
      </c>
      <c r="L235" s="136">
        <f t="shared" ca="1" si="23"/>
        <v>125.2590000000001</v>
      </c>
      <c r="M235" s="136">
        <f t="shared" ca="1" si="23"/>
        <v>121.23900000000009</v>
      </c>
      <c r="N235" s="136">
        <f t="shared" ca="1" si="23"/>
        <v>121.23900000000009</v>
      </c>
      <c r="O235" s="136">
        <f t="shared" ca="1" si="23"/>
        <v>121.23900000000009</v>
      </c>
      <c r="P235" s="136">
        <f t="shared" ca="1" si="23"/>
        <v>121.23900000000009</v>
      </c>
      <c r="Q235" s="136">
        <f t="shared" si="23"/>
        <v>0</v>
      </c>
      <c r="R235" s="136">
        <f t="shared" si="23"/>
        <v>0</v>
      </c>
      <c r="S235" s="136">
        <f t="shared" si="23"/>
        <v>0</v>
      </c>
      <c r="T235" s="136">
        <f t="shared" si="23"/>
        <v>0</v>
      </c>
      <c r="U235" s="136">
        <f t="shared" si="23"/>
        <v>0</v>
      </c>
      <c r="V235" s="136">
        <f t="shared" si="23"/>
        <v>0</v>
      </c>
      <c r="W235" s="136">
        <f t="shared" si="23"/>
        <v>0</v>
      </c>
      <c r="X235" s="136">
        <f t="shared" si="23"/>
        <v>0</v>
      </c>
      <c r="Y235" s="136">
        <f t="shared" si="23"/>
        <v>0</v>
      </c>
      <c r="Z235" s="136">
        <f t="shared" si="23"/>
        <v>0</v>
      </c>
      <c r="AA235" s="136">
        <f t="shared" si="23"/>
        <v>0</v>
      </c>
      <c r="AB235" s="136">
        <f t="shared" si="23"/>
        <v>0</v>
      </c>
      <c r="AC235" s="136">
        <f t="shared" si="23"/>
        <v>0</v>
      </c>
      <c r="AD235" s="136">
        <f t="shared" si="23"/>
        <v>0</v>
      </c>
      <c r="AE235" s="136">
        <f t="shared" si="23"/>
        <v>0</v>
      </c>
      <c r="AF235" s="136">
        <f t="shared" si="23"/>
        <v>0</v>
      </c>
      <c r="AG235" s="145">
        <f t="shared" si="23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2069.6400000000003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4">B91</f>
        <v>2027.9399999999998</v>
      </c>
      <c r="U249" s="170">
        <f t="shared" si="24"/>
        <v>2044.1399999999999</v>
      </c>
      <c r="V249" s="170">
        <f t="shared" si="24"/>
        <v>2028.74</v>
      </c>
      <c r="W249" s="170">
        <f t="shared" si="24"/>
        <v>2024.6399999999999</v>
      </c>
      <c r="X249" s="170">
        <f t="shared" si="24"/>
        <v>2017.3400000000001</v>
      </c>
      <c r="Y249" s="170">
        <f t="shared" si="24"/>
        <v>2026.24</v>
      </c>
      <c r="Z249" s="170">
        <f t="shared" si="24"/>
        <v>2032.84</v>
      </c>
      <c r="AA249" s="170">
        <f t="shared" si="24"/>
        <v>1995.3400000000001</v>
      </c>
      <c r="AB249" s="170">
        <f t="shared" si="24"/>
        <v>2025.54</v>
      </c>
      <c r="AC249" s="170">
        <f t="shared" si="24"/>
        <v>2057.84</v>
      </c>
      <c r="AD249" s="170">
        <f t="shared" si="24"/>
        <v>2058.94</v>
      </c>
      <c r="AE249" s="170">
        <f t="shared" si="24"/>
        <v>2069.6400000000003</v>
      </c>
      <c r="AF249" s="170">
        <f t="shared" si="24"/>
        <v>2027.2400000000002</v>
      </c>
      <c r="AG249" s="170">
        <f t="shared" si="24"/>
        <v>1951.8400000000001</v>
      </c>
      <c r="AH249" s="170">
        <f t="shared" si="24"/>
        <v>2017.1400000000003</v>
      </c>
      <c r="AI249" s="170">
        <f t="shared" si="24"/>
        <v>1986.1400000000003</v>
      </c>
      <c r="AJ249" s="170">
        <f t="shared" si="24"/>
        <v>2011.1400000000003</v>
      </c>
      <c r="AK249" s="170">
        <f t="shared" si="24"/>
        <v>2043.3400000000001</v>
      </c>
      <c r="AL249" s="170">
        <f t="shared" si="24"/>
        <v>2038.2400000000002</v>
      </c>
      <c r="AM249" s="170">
        <f t="shared" si="24"/>
        <v>2038.2400000000002</v>
      </c>
      <c r="AN249" s="170">
        <f t="shared" si="24"/>
        <v>1947.1399999999999</v>
      </c>
      <c r="AO249" s="170">
        <f t="shared" si="24"/>
        <v>1943.1399999999999</v>
      </c>
      <c r="AP249" s="170">
        <f t="shared" si="24"/>
        <v>2009.84</v>
      </c>
      <c r="AQ249" s="170">
        <f t="shared" si="24"/>
        <v>2038.94</v>
      </c>
      <c r="AR249" s="170">
        <f t="shared" si="24"/>
        <v>2154.5299999999997</v>
      </c>
      <c r="AS249" s="170">
        <f t="shared" si="24"/>
        <v>2163.0299999999997</v>
      </c>
      <c r="AT249" s="170">
        <f t="shared" si="24"/>
        <v>2127.0299999999997</v>
      </c>
      <c r="AU249" s="170">
        <f t="shared" si="24"/>
        <v>2160.9299999999998</v>
      </c>
      <c r="AV249" s="170">
        <f t="shared" si="24"/>
        <v>2086.83</v>
      </c>
      <c r="AW249" s="170">
        <f t="shared" si="24"/>
        <v>2081.83</v>
      </c>
      <c r="AX249" s="170">
        <f t="shared" si="24"/>
        <v>2077.83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5">C234</f>
        <v>0.64</v>
      </c>
      <c r="C270" s="173">
        <f t="shared" si="25"/>
        <v>0.64</v>
      </c>
      <c r="D270" s="173">
        <f t="shared" si="25"/>
        <v>0.64</v>
      </c>
      <c r="E270" s="173">
        <f t="shared" si="25"/>
        <v>0.64</v>
      </c>
      <c r="F270" s="173">
        <f t="shared" si="25"/>
        <v>0.64</v>
      </c>
      <c r="G270" s="173">
        <f t="shared" si="25"/>
        <v>0.64</v>
      </c>
      <c r="H270" s="173">
        <f t="shared" si="25"/>
        <v>0.64</v>
      </c>
      <c r="I270" s="173">
        <f t="shared" si="25"/>
        <v>0.64</v>
      </c>
      <c r="J270" s="173">
        <f t="shared" si="25"/>
        <v>0.64</v>
      </c>
      <c r="K270" s="173">
        <f t="shared" si="25"/>
        <v>0.64</v>
      </c>
      <c r="L270" s="173">
        <f t="shared" si="25"/>
        <v>0.64</v>
      </c>
      <c r="M270" s="173">
        <f t="shared" si="25"/>
        <v>0.64</v>
      </c>
      <c r="N270" s="173">
        <f t="shared" si="25"/>
        <v>0.64</v>
      </c>
      <c r="O270" s="173">
        <f t="shared" si="25"/>
        <v>0.64</v>
      </c>
      <c r="P270" s="173">
        <f t="shared" si="25"/>
        <v>0</v>
      </c>
      <c r="Q270" s="173">
        <f t="shared" si="25"/>
        <v>0</v>
      </c>
      <c r="R270" s="173">
        <f t="shared" si="25"/>
        <v>0</v>
      </c>
      <c r="S270" s="173">
        <f t="shared" si="25"/>
        <v>0</v>
      </c>
      <c r="T270" s="173">
        <f t="shared" si="25"/>
        <v>0</v>
      </c>
      <c r="U270" s="173">
        <f t="shared" si="25"/>
        <v>0</v>
      </c>
      <c r="V270" s="173">
        <f t="shared" si="25"/>
        <v>0</v>
      </c>
      <c r="W270" s="173">
        <f t="shared" si="25"/>
        <v>0</v>
      </c>
      <c r="X270" s="173">
        <f t="shared" si="25"/>
        <v>0</v>
      </c>
      <c r="Y270" s="173">
        <f t="shared" si="25"/>
        <v>0</v>
      </c>
      <c r="Z270" s="173">
        <f t="shared" si="25"/>
        <v>0</v>
      </c>
      <c r="AA270" s="173">
        <f t="shared" si="25"/>
        <v>0</v>
      </c>
      <c r="AB270" s="173">
        <f t="shared" si="25"/>
        <v>0</v>
      </c>
      <c r="AC270" s="173">
        <f t="shared" si="25"/>
        <v>0</v>
      </c>
      <c r="AD270" s="173">
        <f t="shared" si="25"/>
        <v>0</v>
      </c>
      <c r="AE270" s="173">
        <f t="shared" si="25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6">IF(B238&lt;100,"",B238-520)</f>
        <v/>
      </c>
      <c r="C271" s="174" t="str">
        <f t="shared" si="26"/>
        <v/>
      </c>
      <c r="D271" s="174" t="str">
        <f t="shared" si="26"/>
        <v/>
      </c>
      <c r="E271" s="174" t="str">
        <f t="shared" si="26"/>
        <v/>
      </c>
      <c r="F271" s="174" t="str">
        <f t="shared" si="26"/>
        <v/>
      </c>
      <c r="G271" s="174" t="str">
        <f t="shared" si="26"/>
        <v/>
      </c>
      <c r="H271" s="174" t="str">
        <f t="shared" si="26"/>
        <v/>
      </c>
      <c r="I271" s="174" t="str">
        <f t="shared" si="26"/>
        <v/>
      </c>
      <c r="J271" s="174" t="str">
        <f t="shared" si="26"/>
        <v/>
      </c>
      <c r="K271" s="174" t="str">
        <f t="shared" si="26"/>
        <v/>
      </c>
      <c r="L271" s="174" t="str">
        <f t="shared" si="26"/>
        <v/>
      </c>
      <c r="M271" s="174" t="str">
        <f t="shared" si="26"/>
        <v/>
      </c>
      <c r="N271" s="174" t="str">
        <f t="shared" si="26"/>
        <v/>
      </c>
      <c r="O271" s="174" t="str">
        <f t="shared" si="26"/>
        <v/>
      </c>
      <c r="P271" s="174" t="str">
        <f t="shared" si="26"/>
        <v/>
      </c>
      <c r="Q271" s="174" t="str">
        <f t="shared" si="26"/>
        <v/>
      </c>
      <c r="R271" s="174" t="str">
        <f t="shared" si="26"/>
        <v/>
      </c>
      <c r="S271" s="174" t="str">
        <f t="shared" si="26"/>
        <v/>
      </c>
      <c r="T271" s="174" t="str">
        <f t="shared" si="26"/>
        <v/>
      </c>
      <c r="U271" s="174" t="str">
        <f t="shared" si="26"/>
        <v/>
      </c>
      <c r="V271" s="174" t="str">
        <f t="shared" si="26"/>
        <v/>
      </c>
      <c r="W271" s="174" t="str">
        <f t="shared" si="26"/>
        <v/>
      </c>
      <c r="X271" s="174" t="str">
        <f t="shared" si="26"/>
        <v/>
      </c>
      <c r="Y271" s="174" t="str">
        <f t="shared" si="26"/>
        <v/>
      </c>
      <c r="Z271" s="174" t="str">
        <f t="shared" si="26"/>
        <v/>
      </c>
      <c r="AA271" s="174" t="str">
        <f t="shared" si="26"/>
        <v/>
      </c>
      <c r="AB271" s="174" t="str">
        <f t="shared" si="26"/>
        <v/>
      </c>
      <c r="AC271" s="174" t="str">
        <f t="shared" si="26"/>
        <v/>
      </c>
      <c r="AD271" s="174" t="str">
        <f t="shared" si="26"/>
        <v/>
      </c>
      <c r="AE271" s="174" t="str">
        <f t="shared" si="26"/>
        <v/>
      </c>
      <c r="AF271" s="174" t="str">
        <f t="shared" si="26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7">IF(B239&lt;100,"",B239-620)</f>
        <v/>
      </c>
      <c r="C272" s="174" t="str">
        <f t="shared" si="27"/>
        <v/>
      </c>
      <c r="D272" s="174" t="str">
        <f t="shared" si="27"/>
        <v/>
      </c>
      <c r="E272" s="174" t="str">
        <f t="shared" si="27"/>
        <v/>
      </c>
      <c r="F272" s="174" t="str">
        <f t="shared" si="27"/>
        <v/>
      </c>
      <c r="G272" s="174" t="str">
        <f t="shared" si="27"/>
        <v/>
      </c>
      <c r="H272" s="174" t="str">
        <f t="shared" si="27"/>
        <v/>
      </c>
      <c r="I272" s="174" t="str">
        <f t="shared" si="27"/>
        <v/>
      </c>
      <c r="J272" s="174" t="str">
        <f t="shared" si="27"/>
        <v/>
      </c>
      <c r="K272" s="174" t="str">
        <f t="shared" si="27"/>
        <v/>
      </c>
      <c r="L272" s="174" t="str">
        <f t="shared" si="27"/>
        <v/>
      </c>
      <c r="M272" s="174" t="str">
        <f t="shared" si="27"/>
        <v/>
      </c>
      <c r="N272" s="174" t="str">
        <f t="shared" si="27"/>
        <v/>
      </c>
      <c r="O272" s="174" t="str">
        <f t="shared" si="27"/>
        <v/>
      </c>
      <c r="P272" s="174" t="str">
        <f t="shared" si="27"/>
        <v/>
      </c>
      <c r="Q272" s="174" t="str">
        <f t="shared" si="27"/>
        <v/>
      </c>
      <c r="R272" s="174" t="str">
        <f t="shared" si="27"/>
        <v/>
      </c>
      <c r="S272" s="174" t="str">
        <f t="shared" si="27"/>
        <v/>
      </c>
      <c r="T272" s="174" t="str">
        <f t="shared" si="27"/>
        <v/>
      </c>
      <c r="U272" s="174" t="str">
        <f t="shared" si="27"/>
        <v/>
      </c>
      <c r="V272" s="174" t="str">
        <f t="shared" si="27"/>
        <v/>
      </c>
      <c r="W272" s="174" t="str">
        <f t="shared" si="27"/>
        <v/>
      </c>
      <c r="X272" s="174" t="str">
        <f t="shared" si="27"/>
        <v/>
      </c>
      <c r="Y272" s="174" t="str">
        <f t="shared" si="27"/>
        <v/>
      </c>
      <c r="Z272" s="174" t="str">
        <f t="shared" si="27"/>
        <v/>
      </c>
      <c r="AA272" s="174" t="str">
        <f t="shared" si="27"/>
        <v/>
      </c>
      <c r="AB272" s="174" t="str">
        <f t="shared" si="27"/>
        <v/>
      </c>
      <c r="AC272" s="174" t="str">
        <f t="shared" si="27"/>
        <v/>
      </c>
      <c r="AD272" s="174" t="str">
        <f t="shared" si="27"/>
        <v/>
      </c>
      <c r="AE272" s="174" t="str">
        <f t="shared" si="27"/>
        <v/>
      </c>
      <c r="AF272" s="174" t="str">
        <f t="shared" si="27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8">IF(B240&lt;100,"",B240-330)</f>
        <v/>
      </c>
      <c r="C273" s="174" t="str">
        <f t="shared" si="28"/>
        <v/>
      </c>
      <c r="D273" s="174" t="str">
        <f t="shared" si="28"/>
        <v/>
      </c>
      <c r="E273" s="174" t="str">
        <f t="shared" si="28"/>
        <v/>
      </c>
      <c r="F273" s="174" t="str">
        <f t="shared" si="28"/>
        <v/>
      </c>
      <c r="G273" s="174" t="str">
        <f t="shared" si="28"/>
        <v/>
      </c>
      <c r="H273" s="174" t="str">
        <f t="shared" si="28"/>
        <v/>
      </c>
      <c r="I273" s="174" t="str">
        <f t="shared" si="28"/>
        <v/>
      </c>
      <c r="J273" s="174" t="str">
        <f t="shared" si="28"/>
        <v/>
      </c>
      <c r="K273" s="174" t="str">
        <f t="shared" si="28"/>
        <v/>
      </c>
      <c r="L273" s="174" t="str">
        <f t="shared" si="28"/>
        <v/>
      </c>
      <c r="M273" s="174" t="str">
        <f t="shared" si="28"/>
        <v/>
      </c>
      <c r="N273" s="174" t="str">
        <f t="shared" si="28"/>
        <v/>
      </c>
      <c r="O273" s="174" t="str">
        <f t="shared" si="28"/>
        <v/>
      </c>
      <c r="P273" s="174" t="str">
        <f t="shared" si="28"/>
        <v/>
      </c>
      <c r="Q273" s="174" t="str">
        <f t="shared" si="28"/>
        <v/>
      </c>
      <c r="R273" s="174" t="str">
        <f t="shared" si="28"/>
        <v/>
      </c>
      <c r="S273" s="174" t="str">
        <f t="shared" si="28"/>
        <v/>
      </c>
      <c r="T273" s="174" t="str">
        <f t="shared" si="28"/>
        <v/>
      </c>
      <c r="U273" s="174" t="str">
        <f t="shared" si="28"/>
        <v/>
      </c>
      <c r="V273" s="174" t="str">
        <f t="shared" si="28"/>
        <v/>
      </c>
      <c r="W273" s="174" t="str">
        <f t="shared" si="28"/>
        <v/>
      </c>
      <c r="X273" s="174" t="str">
        <f t="shared" si="28"/>
        <v/>
      </c>
      <c r="Y273" s="174" t="str">
        <f t="shared" si="28"/>
        <v/>
      </c>
      <c r="Z273" s="174" t="str">
        <f t="shared" si="28"/>
        <v/>
      </c>
      <c r="AA273" s="174" t="str">
        <f t="shared" si="28"/>
        <v/>
      </c>
      <c r="AB273" s="174" t="str">
        <f t="shared" si="28"/>
        <v/>
      </c>
      <c r="AC273" s="174" t="str">
        <f t="shared" si="28"/>
        <v/>
      </c>
      <c r="AD273" s="174" t="str">
        <f t="shared" si="28"/>
        <v/>
      </c>
      <c r="AE273" s="174" t="str">
        <f t="shared" si="28"/>
        <v/>
      </c>
      <c r="AF273" s="174" t="str">
        <f t="shared" si="28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9">IF(B241&lt;100,"",B241-1500)</f>
        <v/>
      </c>
      <c r="C274" s="174" t="str">
        <f t="shared" si="29"/>
        <v/>
      </c>
      <c r="D274" s="174" t="str">
        <f t="shared" si="29"/>
        <v/>
      </c>
      <c r="E274" s="174" t="str">
        <f t="shared" si="29"/>
        <v/>
      </c>
      <c r="F274" s="174" t="str">
        <f t="shared" si="29"/>
        <v/>
      </c>
      <c r="G274" s="174" t="str">
        <f t="shared" si="29"/>
        <v/>
      </c>
      <c r="H274" s="174" t="str">
        <f t="shared" si="29"/>
        <v/>
      </c>
      <c r="I274" s="174" t="str">
        <f t="shared" si="29"/>
        <v/>
      </c>
      <c r="J274" s="174" t="str">
        <f t="shared" si="29"/>
        <v/>
      </c>
      <c r="K274" s="174" t="str">
        <f t="shared" si="29"/>
        <v/>
      </c>
      <c r="L274" s="174" t="str">
        <f t="shared" si="29"/>
        <v/>
      </c>
      <c r="M274" s="174" t="str">
        <f t="shared" si="29"/>
        <v/>
      </c>
      <c r="N274" s="174" t="str">
        <f t="shared" si="29"/>
        <v/>
      </c>
      <c r="O274" s="174" t="str">
        <f t="shared" si="29"/>
        <v/>
      </c>
      <c r="P274" s="174" t="str">
        <f t="shared" si="29"/>
        <v/>
      </c>
      <c r="Q274" s="174" t="str">
        <f t="shared" si="29"/>
        <v/>
      </c>
      <c r="R274" s="174" t="str">
        <f t="shared" si="29"/>
        <v/>
      </c>
      <c r="S274" s="174" t="str">
        <f t="shared" si="29"/>
        <v/>
      </c>
      <c r="T274" s="174" t="str">
        <f t="shared" si="29"/>
        <v/>
      </c>
      <c r="U274" s="174" t="str">
        <f t="shared" si="29"/>
        <v/>
      </c>
      <c r="V274" s="174" t="str">
        <f t="shared" si="29"/>
        <v/>
      </c>
      <c r="W274" s="174" t="str">
        <f t="shared" si="29"/>
        <v/>
      </c>
      <c r="X274" s="174" t="str">
        <f t="shared" si="29"/>
        <v/>
      </c>
      <c r="Y274" s="174" t="str">
        <f t="shared" si="29"/>
        <v/>
      </c>
      <c r="Z274" s="174" t="str">
        <f t="shared" si="29"/>
        <v/>
      </c>
      <c r="AA274" s="174" t="str">
        <f t="shared" si="29"/>
        <v/>
      </c>
      <c r="AB274" s="174" t="str">
        <f t="shared" si="29"/>
        <v/>
      </c>
      <c r="AC274" s="174" t="str">
        <f t="shared" si="29"/>
        <v/>
      </c>
      <c r="AD274" s="174" t="str">
        <f t="shared" si="29"/>
        <v/>
      </c>
      <c r="AE274" s="174" t="str">
        <f t="shared" si="29"/>
        <v/>
      </c>
      <c r="AF274" s="174" t="str">
        <f t="shared" si="29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449" priority="64">
      <formula>$AH11=0</formula>
    </cfRule>
  </conditionalFormatting>
  <conditionalFormatting sqref="B8 M8 S8 AB8">
    <cfRule type="expression" dxfId="1448" priority="117">
      <formula>C$9&lt;8/24</formula>
    </cfRule>
    <cfRule type="expression" dxfId="1447" priority="116">
      <formula>AND(C$9&gt;=8/24,C$9&lt;14/24)</formula>
    </cfRule>
    <cfRule type="expression" dxfId="1446" priority="115">
      <formula>AND(C$9&gt;=14/24,C$9&lt;20/24)</formula>
    </cfRule>
  </conditionalFormatting>
  <conditionalFormatting sqref="B54:D58 B59:I59 E55:H58">
    <cfRule type="expression" dxfId="1445" priority="38">
      <formula>B$9&gt;=20/24</formula>
    </cfRule>
  </conditionalFormatting>
  <conditionalFormatting sqref="B54:D58 B59:I66 J60:Y66">
    <cfRule type="expression" dxfId="1444" priority="33">
      <formula>B54&gt;$AG54</formula>
    </cfRule>
  </conditionalFormatting>
  <conditionalFormatting sqref="B54:D58 E55:H58 B59:I59">
    <cfRule type="expression" dxfId="1443" priority="39">
      <formula>AND(B$9&gt;=14/24,B$9&lt;20/24)</formula>
    </cfRule>
    <cfRule type="expression" dxfId="1442" priority="40">
      <formula>AND(B$9&gt;=8/24,B$9&lt;14/24)</formula>
    </cfRule>
    <cfRule type="expression" dxfId="1441" priority="41">
      <formula>B$9&lt;8/24</formula>
    </cfRule>
  </conditionalFormatting>
  <conditionalFormatting sqref="B60:Y60">
    <cfRule type="expression" dxfId="1440" priority="54">
      <formula>B$9&lt;8/24</formula>
    </cfRule>
    <cfRule type="expression" dxfId="1439" priority="53">
      <formula>AND(B$9&gt;=8/24,B$9&lt;14/24)</formula>
    </cfRule>
    <cfRule type="expression" dxfId="1438" priority="52">
      <formula>AND(B$9&gt;=14/24,B$9&lt;20/24)</formula>
    </cfRule>
    <cfRule type="expression" dxfId="1437" priority="51">
      <formula>B$9&gt;=20/24</formula>
    </cfRule>
  </conditionalFormatting>
  <conditionalFormatting sqref="B9:AF45">
    <cfRule type="expression" dxfId="1436" priority="25">
      <formula>AND(B$9&gt;=8/24,B$9&lt;14/24)</formula>
    </cfRule>
    <cfRule type="expression" dxfId="1435" priority="23">
      <formula>B$9&gt;=20/24</formula>
    </cfRule>
    <cfRule type="expression" dxfId="1434" priority="24">
      <formula>AND(B$9&gt;=14/24,B$9&lt;20/24)</formula>
    </cfRule>
    <cfRule type="expression" dxfId="1433" priority="26">
      <formula>B$9&lt;8/24</formula>
    </cfRule>
  </conditionalFormatting>
  <conditionalFormatting sqref="B11:AF46">
    <cfRule type="expression" dxfId="1432" priority="22">
      <formula>B11&gt;$AG11</formula>
    </cfRule>
  </conditionalFormatting>
  <conditionalFormatting sqref="B46:AF46">
    <cfRule type="expression" dxfId="1431" priority="18">
      <formula>B$9&gt;=20/24</formula>
    </cfRule>
    <cfRule type="expression" dxfId="1430" priority="19">
      <formula>AND(B$9&gt;=14/24,B$9&lt;20/24)</formula>
    </cfRule>
    <cfRule type="expression" dxfId="1429" priority="20">
      <formula>AND(B$9&gt;=8/24,B$9&lt;14/24)</formula>
    </cfRule>
    <cfRule type="expression" dxfId="1428" priority="21">
      <formula>B$9&lt;8/24</formula>
    </cfRule>
  </conditionalFormatting>
  <conditionalFormatting sqref="B47:AF47">
    <cfRule type="expression" dxfId="1427" priority="32">
      <formula>B47&gt;$AG47</formula>
    </cfRule>
  </conditionalFormatting>
  <conditionalFormatting sqref="B47:AF49">
    <cfRule type="expression" dxfId="1426" priority="31">
      <formula>B$9&lt;8/24</formula>
    </cfRule>
    <cfRule type="expression" dxfId="1425" priority="28">
      <formula>B$9&gt;=20/24</formula>
    </cfRule>
    <cfRule type="expression" dxfId="1424" priority="29">
      <formula>AND(B$9&gt;=14/24,B$9&lt;20/24)</formula>
    </cfRule>
    <cfRule type="expression" dxfId="1423" priority="30">
      <formula>AND(B$9&gt;=8/24,B$9&lt;14/24)</formula>
    </cfRule>
  </conditionalFormatting>
  <conditionalFormatting sqref="B48:AF53">
    <cfRule type="expression" dxfId="1422" priority="27">
      <formula>B48&gt;$AG48</formula>
    </cfRule>
  </conditionalFormatting>
  <conditionalFormatting sqref="B51:AF53">
    <cfRule type="expression" dxfId="1421" priority="50">
      <formula>B$9&lt;8/24</formula>
    </cfRule>
    <cfRule type="expression" dxfId="1420" priority="47">
      <formula>B$9&gt;=20/24</formula>
    </cfRule>
    <cfRule type="expression" dxfId="1419" priority="48">
      <formula>AND(B$9&gt;=14/24,B$9&lt;20/24)</formula>
    </cfRule>
    <cfRule type="expression" dxfId="1418" priority="49">
      <formula>AND(B$9&gt;=8/24,B$9&lt;14/24)</formula>
    </cfRule>
  </conditionalFormatting>
  <conditionalFormatting sqref="B61:AF66">
    <cfRule type="expression" dxfId="1417" priority="37">
      <formula>B$9&lt;8/24</formula>
    </cfRule>
    <cfRule type="expression" dxfId="1416" priority="34">
      <formula>B$9&gt;=20/24</formula>
    </cfRule>
    <cfRule type="expression" dxfId="1415" priority="35">
      <formula>AND(B$9&gt;=14/24,B$9&lt;20/24)</formula>
    </cfRule>
    <cfRule type="expression" dxfId="1414" priority="36">
      <formula>AND(B$9&gt;=8/24,B$9&lt;14/24)</formula>
    </cfRule>
  </conditionalFormatting>
  <conditionalFormatting sqref="B69:AF71">
    <cfRule type="expression" dxfId="1413" priority="55">
      <formula>B69&gt;$AG69</formula>
    </cfRule>
    <cfRule type="expression" dxfId="1412" priority="56">
      <formula>B$9&gt;=20/24</formula>
    </cfRule>
    <cfRule type="expression" dxfId="1411" priority="57">
      <formula>AND(B$9&gt;=14/24,B$9&lt;20/24)</formula>
    </cfRule>
    <cfRule type="expression" dxfId="1410" priority="58">
      <formula>AND(B$9&gt;=8/24,B$9&lt;14/24)</formula>
    </cfRule>
    <cfRule type="expression" dxfId="1409" priority="59">
      <formula>B$9&lt;8/24</formula>
    </cfRule>
  </conditionalFormatting>
  <conditionalFormatting sqref="B73:AF91">
    <cfRule type="expression" dxfId="1408" priority="2">
      <formula>AND(B$9&gt;=14/24,B$9&lt;20/24)</formula>
    </cfRule>
    <cfRule type="expression" dxfId="1407" priority="3">
      <formula>AND(B$9&gt;=8/24,B$9&lt;14/24)</formula>
    </cfRule>
    <cfRule type="expression" dxfId="1406" priority="4">
      <formula>B$9&lt;8/24</formula>
    </cfRule>
    <cfRule type="expression" dxfId="1405" priority="1">
      <formula>B$9&gt;=20/24</formula>
    </cfRule>
  </conditionalFormatting>
  <conditionalFormatting sqref="B111:AF120">
    <cfRule type="expression" dxfId="1404" priority="17">
      <formula>B$9&lt;8/24</formula>
    </cfRule>
    <cfRule type="expression" dxfId="1403" priority="14">
      <formula>B$9&gt;=20/24</formula>
    </cfRule>
    <cfRule type="expression" dxfId="1402" priority="15">
      <formula>AND(B$9&gt;=14/24,B$9&lt;20/24)</formula>
    </cfRule>
    <cfRule type="expression" dxfId="1401" priority="16">
      <formula>AND(B$9&gt;=8/24,B$9&lt;14/24)</formula>
    </cfRule>
  </conditionalFormatting>
  <conditionalFormatting sqref="B227:AF227 D229:AF230 B229:B235 D231:H231 J231:AF231 D232:AF235 U248:AF248">
    <cfRule type="expression" dxfId="1400" priority="109">
      <formula>AND(B$9&gt;=14/24,B$9&lt;20/24)</formula>
    </cfRule>
    <cfRule type="expression" dxfId="1399" priority="111">
      <formula>B$9&lt;8/24</formula>
    </cfRule>
    <cfRule type="expression" dxfId="1398" priority="110">
      <formula>AND(B$9&gt;=8/24,B$9&lt;14/24)</formula>
    </cfRule>
    <cfRule type="expression" dxfId="1397" priority="108">
      <formula>B$9&gt;=20/24</formula>
    </cfRule>
  </conditionalFormatting>
  <conditionalFormatting sqref="B67:AG68 B72:AG72">
    <cfRule type="expression" dxfId="1396" priority="42">
      <formula>B67&gt;$AG67</formula>
    </cfRule>
  </conditionalFormatting>
  <conditionalFormatting sqref="B72:AG72 B93:AF109">
    <cfRule type="expression" dxfId="1395" priority="45">
      <formula>AND(B$9&gt;=8/24,B$9&lt;14/24)</formula>
    </cfRule>
    <cfRule type="expression" dxfId="1394" priority="46">
      <formula>B$9&lt;8/24</formula>
    </cfRule>
    <cfRule type="expression" dxfId="1393" priority="44">
      <formula>AND(B$9&gt;=14/24,B$9&lt;20/24)</formula>
    </cfRule>
    <cfRule type="expression" dxfId="1392" priority="43">
      <formula>B$9&gt;=20/24</formula>
    </cfRule>
  </conditionalFormatting>
  <conditionalFormatting sqref="E55:J58 K55:Y59 Z55:AF66 J59">
    <cfRule type="expression" dxfId="1391" priority="5">
      <formula>E55&gt;$AG55</formula>
    </cfRule>
  </conditionalFormatting>
  <conditionalFormatting sqref="E54:AG54">
    <cfRule type="expression" dxfId="1390" priority="80">
      <formula>E$9&lt;8/24</formula>
    </cfRule>
    <cfRule type="expression" dxfId="1389" priority="78">
      <formula>AND(E$9&gt;=14/24,E$9&lt;20/24)</formula>
    </cfRule>
    <cfRule type="expression" dxfId="1388" priority="77">
      <formula>E$9&gt;=20/24</formula>
    </cfRule>
    <cfRule type="expression" dxfId="1387" priority="76">
      <formula>E54&gt;$AG54</formula>
    </cfRule>
    <cfRule type="expression" dxfId="1386" priority="79">
      <formula>AND(E$9&gt;=8/24,E$9&lt;14/24)</formula>
    </cfRule>
  </conditionalFormatting>
  <conditionalFormatting sqref="I55:U57">
    <cfRule type="expression" dxfId="1385" priority="91">
      <formula>AND(I$9&gt;=8/24,I$9&lt;14/24)</formula>
    </cfRule>
    <cfRule type="expression" dxfId="1384" priority="90">
      <formula>AND(I$9&gt;=14/24,I$9&lt;20/24)</formula>
    </cfRule>
    <cfRule type="expression" dxfId="1383" priority="92">
      <formula>I$9&lt;8/24</formula>
    </cfRule>
    <cfRule type="expression" dxfId="1382" priority="89">
      <formula>I$9&gt;=20/24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381" priority="114">
      <formula>C$9&gt;=20/24</formula>
    </cfRule>
  </conditionalFormatting>
  <conditionalFormatting sqref="S8">
    <cfRule type="expression" dxfId="1380" priority="101">
      <formula>U$9&gt;=20/24</formula>
    </cfRule>
    <cfRule type="expression" dxfId="1379" priority="102">
      <formula>AND(U$9&gt;=14/24,U$9&lt;20/24)</formula>
    </cfRule>
    <cfRule type="expression" dxfId="1378" priority="103">
      <formula>AND(U$9&gt;=8/24,U$9&lt;14/24)</formula>
    </cfRule>
    <cfRule type="expression" dxfId="1377" priority="104">
      <formula>U$9&lt;8/24</formula>
    </cfRule>
  </conditionalFormatting>
  <conditionalFormatting sqref="T248">
    <cfRule type="expression" dxfId="1376" priority="126">
      <formula>AX$9&gt;=20/24</formula>
    </cfRule>
    <cfRule type="expression" dxfId="1375" priority="127">
      <formula>AND(AX$9&gt;=14/24,AX$9&lt;20/24)</formula>
    </cfRule>
    <cfRule type="expression" dxfId="1374" priority="128">
      <formula>AND(AX$9&gt;=8/24,AX$9&lt;14/24)</formula>
    </cfRule>
    <cfRule type="expression" dxfId="137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V55:Y58 Z55:AF60">
    <cfRule type="expression" dxfId="1372" priority="12">
      <formula>AND(V$9&gt;=8/24,V$9&lt;14/24)</formula>
    </cfRule>
    <cfRule type="expression" dxfId="1371" priority="11">
      <formula>AND(V$9&gt;=14/24,V$9&lt;20/24)</formula>
    </cfRule>
    <cfRule type="expression" dxfId="1370" priority="13">
      <formula>V$9&lt;8/24</formula>
    </cfRule>
    <cfRule type="expression" dxfId="1369" priority="10">
      <formula>V$9&gt;=20/24</formula>
    </cfRule>
  </conditionalFormatting>
  <conditionalFormatting sqref="AB8">
    <cfRule type="expression" dxfId="1368" priority="97">
      <formula>AD$9&gt;=20/24</formula>
    </cfRule>
    <cfRule type="expression" dxfId="1367" priority="98">
      <formula>AND(AD$9&gt;=14/24,AD$9&lt;20/24)</formula>
    </cfRule>
    <cfRule type="expression" dxfId="1366" priority="99">
      <formula>AND(AD$9&gt;=8/24,AD$9&lt;14/24)</formula>
    </cfRule>
    <cfRule type="expression" dxfId="1365" priority="100">
      <formula>AD$9&lt;8/24</formula>
    </cfRule>
  </conditionalFormatting>
  <conditionalFormatting sqref="AE61:AF66">
    <cfRule type="expression" dxfId="1364" priority="6">
      <formula>AE$9&gt;=20/24</formula>
    </cfRule>
    <cfRule type="expression" dxfId="1363" priority="7">
      <formula>AND(AE$9&gt;=14/24,AE$9&lt;20/24)</formula>
    </cfRule>
    <cfRule type="expression" dxfId="1362" priority="9">
      <formula>AE$9&lt;8/24</formula>
    </cfRule>
    <cfRule type="expression" dxfId="1361" priority="8">
      <formula>AND(AE$9&gt;=8/24,AE$9&lt;14/24)</formula>
    </cfRule>
  </conditionalFormatting>
  <conditionalFormatting sqref="AG50">
    <cfRule type="expression" dxfId="1360" priority="84">
      <formula>AG50&gt;$AG50</formula>
    </cfRule>
  </conditionalFormatting>
  <conditionalFormatting sqref="AG89">
    <cfRule type="expression" dxfId="1359" priority="86">
      <formula>AND(AG$9&gt;=14/24,AG$9&lt;20/24)</formula>
    </cfRule>
    <cfRule type="expression" dxfId="1358" priority="87">
      <formula>AND(AG$9&gt;=8/24,AG$9&lt;14/24)</formula>
    </cfRule>
    <cfRule type="expression" dxfId="1357" priority="85">
      <formula>AG$9&gt;=20/24</formula>
    </cfRule>
    <cfRule type="expression" dxfId="1356" priority="88">
      <formula>AG$9&lt;8/24</formula>
    </cfRule>
  </conditionalFormatting>
  <conditionalFormatting sqref="AG248">
    <cfRule type="expression" dxfId="1355" priority="119">
      <formula>AND(B$9&gt;=14/24,B$9&lt;20/24)</formula>
    </cfRule>
    <cfRule type="expression" dxfId="1354" priority="118">
      <formula>B$9&gt;=20/24</formula>
    </cfRule>
    <cfRule type="expression" dxfId="1353" priority="120">
      <formula>AND(B$9&gt;=8/24,B$9&lt;14/24)</formula>
    </cfRule>
    <cfRule type="expression" dxfId="1352" priority="121">
      <formula>B$9&lt;8/24</formula>
    </cfRule>
  </conditionalFormatting>
  <conditionalFormatting sqref="AH248:AX248">
    <cfRule type="expression" dxfId="1351" priority="122">
      <formula>AG$9&gt;=20/24</formula>
    </cfRule>
    <cfRule type="expression" dxfId="1350" priority="123">
      <formula>AND(AG$9&gt;=14/24,AG$9&lt;20/24)</formula>
    </cfRule>
    <cfRule type="expression" dxfId="1349" priority="124">
      <formula>AND(AG$9&gt;=8/24,AG$9&lt;14/24)</formula>
    </cfRule>
    <cfRule type="expression" dxfId="134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347" priority="131">
      <formula>AJ$9&gt;=20/24</formula>
    </cfRule>
    <cfRule type="expression" dxfId="1346" priority="132">
      <formula>AND(AJ$9&gt;=14/24,AJ$9&lt;20/24)</formula>
    </cfRule>
    <cfRule type="expression" dxfId="1345" priority="133">
      <formula>AND(AJ$9&gt;=8/24,AJ$9&lt;14/24)</formula>
    </cfRule>
    <cfRule type="expression" dxfId="1344" priority="134">
      <formula>AJ$9&lt;8/24</formula>
    </cfRule>
  </conditionalFormatting>
  <conditionalFormatting sqref="AL80:AN80 AL86:AN86">
    <cfRule type="expression" dxfId="1343" priority="72">
      <formula>AL$9&gt;=20/24</formula>
    </cfRule>
    <cfRule type="expression" dxfId="1342" priority="73">
      <formula>AND(AL$9&gt;=14/24,AL$9&lt;20/24)</formula>
    </cfRule>
    <cfRule type="expression" dxfId="1341" priority="74">
      <formula>AND(AL$9&gt;=8/24,AL$9&lt;14/24)</formula>
    </cfRule>
    <cfRule type="expression" dxfId="1340" priority="75">
      <formula>AL$9&lt;8/24</formula>
    </cfRule>
  </conditionalFormatting>
  <conditionalFormatting sqref="AN81:AN84">
    <cfRule type="expression" dxfId="1339" priority="69">
      <formula>AND(AN$9&gt;=14/24,AN$9&lt;20/24)</formula>
    </cfRule>
    <cfRule type="expression" dxfId="1338" priority="70">
      <formula>AND(AN$9&gt;=8/24,AN$9&lt;14/24)</formula>
    </cfRule>
    <cfRule type="expression" dxfId="1337" priority="68">
      <formula>AN$9&gt;=20/24</formula>
    </cfRule>
    <cfRule type="expression" dxfId="133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BF53-6DF6-446F-A25F-B23A2147CA8D}">
  <sheetPr codeName="Sheet27"/>
  <dimension ref="A1:CJ281"/>
  <sheetViews>
    <sheetView zoomScale="90" zoomScaleNormal="90" workbookViewId="0">
      <pane xSplit="1" ySplit="10" topLeftCell="B104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115" sqref="B115:AF11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2080/05/23</v>
      </c>
      <c r="C4" s="196"/>
      <c r="D4" s="196"/>
      <c r="E4" s="197" t="str">
        <f ca="1">"2080/"&amp;"05/"&amp;INT(MID(CELL("filename",G6),FIND("]",CELL("filename",G6))+1,200))</f>
        <v>2080/05/23</v>
      </c>
      <c r="F4" s="197"/>
      <c r="G4" s="197"/>
      <c r="H4" s="197" t="str">
        <f ca="1">TEXT(E4,"dddd")</f>
        <v>Thursday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2.2000000000000002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2050MW at 6:00hr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Load=1750</v>
      </c>
      <c r="B7" s="35">
        <f t="shared" ref="B7:AF7" si="1">B91</f>
        <v>2077.83</v>
      </c>
      <c r="C7" s="35">
        <f t="shared" si="1"/>
        <v>2051.23</v>
      </c>
      <c r="D7" s="35">
        <f t="shared" si="1"/>
        <v>2044.33</v>
      </c>
      <c r="E7" s="35">
        <f t="shared" si="1"/>
        <v>2035.73</v>
      </c>
      <c r="F7" s="35">
        <f t="shared" si="1"/>
        <v>2038.23</v>
      </c>
      <c r="G7" s="35">
        <f t="shared" si="1"/>
        <v>2024.2300000000002</v>
      </c>
      <c r="H7" s="35">
        <f t="shared" si="1"/>
        <v>2044.4300000000003</v>
      </c>
      <c r="I7" s="35">
        <f t="shared" si="1"/>
        <v>2049.63</v>
      </c>
      <c r="J7" s="35">
        <f t="shared" si="1"/>
        <v>1984.4300000000003</v>
      </c>
      <c r="K7" s="35">
        <f t="shared" si="1"/>
        <v>1998.2300000000002</v>
      </c>
      <c r="L7" s="35">
        <f t="shared" si="1"/>
        <v>2018.63</v>
      </c>
      <c r="M7" s="35">
        <f t="shared" si="1"/>
        <v>2026.9300000000003</v>
      </c>
      <c r="N7" s="35">
        <f>N91</f>
        <v>1967.9300000000003</v>
      </c>
      <c r="O7" s="35">
        <f t="shared" si="1"/>
        <v>1947.9300000000003</v>
      </c>
      <c r="P7" s="35">
        <f t="shared" si="1"/>
        <v>1942.3300000000002</v>
      </c>
      <c r="Q7" s="35">
        <f t="shared" si="1"/>
        <v>1887.7300000000002</v>
      </c>
      <c r="R7" s="35">
        <f t="shared" si="1"/>
        <v>1843.7300000000002</v>
      </c>
      <c r="S7" s="35">
        <f t="shared" si="1"/>
        <v>1849.3300000000002</v>
      </c>
      <c r="T7" s="35">
        <f t="shared" si="1"/>
        <v>1775.9300000000003</v>
      </c>
      <c r="U7" s="35">
        <f t="shared" si="1"/>
        <v>1750.7300000000002</v>
      </c>
      <c r="V7" s="35">
        <f t="shared" si="1"/>
        <v>1751.7800000000002</v>
      </c>
      <c r="W7" s="35">
        <f t="shared" si="1"/>
        <v>1750.38</v>
      </c>
      <c r="X7" s="35">
        <f t="shared" si="1"/>
        <v>1851.5300000000002</v>
      </c>
      <c r="Y7" s="35">
        <f t="shared" si="1"/>
        <v>1906.5300000000002</v>
      </c>
      <c r="Z7" s="35">
        <f t="shared" si="1"/>
        <v>1915.4299999999998</v>
      </c>
      <c r="AA7" s="35">
        <f t="shared" si="1"/>
        <v>1948.6299999999999</v>
      </c>
      <c r="AB7" s="35">
        <f t="shared" si="1"/>
        <v>1941.74</v>
      </c>
      <c r="AC7" s="35">
        <f t="shared" si="1"/>
        <v>2015.74</v>
      </c>
      <c r="AD7" s="35">
        <f t="shared" si="1"/>
        <v>2013.54</v>
      </c>
      <c r="AE7" s="35">
        <f t="shared" si="1"/>
        <v>1960.44</v>
      </c>
      <c r="AF7" s="35">
        <f t="shared" si="1"/>
        <v>1950.94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87</v>
      </c>
      <c r="C11" s="45">
        <v>87</v>
      </c>
      <c r="D11" s="45">
        <v>87</v>
      </c>
      <c r="E11" s="45">
        <v>87</v>
      </c>
      <c r="F11" s="45">
        <v>87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87</v>
      </c>
      <c r="W11" s="45">
        <v>87</v>
      </c>
      <c r="X11" s="45">
        <v>87</v>
      </c>
      <c r="Y11" s="45">
        <v>87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87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9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8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53.8</v>
      </c>
      <c r="H13" s="45">
        <v>53.8</v>
      </c>
      <c r="I13" s="45">
        <v>53.8</v>
      </c>
      <c r="J13" s="45">
        <v>53.8</v>
      </c>
      <c r="K13" s="45">
        <v>53.8</v>
      </c>
      <c r="L13" s="45">
        <v>53.8</v>
      </c>
      <c r="M13" s="45">
        <v>53.8</v>
      </c>
      <c r="N13" s="45">
        <v>53.8</v>
      </c>
      <c r="O13" s="45">
        <v>53.8</v>
      </c>
      <c r="P13" s="45">
        <v>54.3</v>
      </c>
      <c r="Q13" s="45">
        <v>54.3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54.5</v>
      </c>
      <c r="AI13" s="48">
        <f t="shared" si="3"/>
        <v>53.8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45">
        <v>50.6</v>
      </c>
      <c r="AB14" s="45">
        <v>50.6</v>
      </c>
      <c r="AC14" s="45">
        <v>50.6</v>
      </c>
      <c r="AD14" s="45">
        <v>50.6</v>
      </c>
      <c r="AE14" s="45">
        <v>50.6</v>
      </c>
      <c r="AF14" s="45">
        <v>50.6</v>
      </c>
      <c r="AG14" s="49">
        <v>50</v>
      </c>
      <c r="AH14" s="47">
        <f t="shared" si="2"/>
        <v>50.6</v>
      </c>
      <c r="AI14" s="48">
        <f t="shared" si="3"/>
        <v>50.6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46.7</v>
      </c>
      <c r="G15" s="45">
        <v>46.7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37.9</v>
      </c>
      <c r="Q15" s="45">
        <v>37.9</v>
      </c>
      <c r="R15" s="45">
        <v>37.9</v>
      </c>
      <c r="S15" s="45">
        <v>37.9</v>
      </c>
      <c r="T15" s="45">
        <v>37.9</v>
      </c>
      <c r="U15" s="45">
        <v>37.9</v>
      </c>
      <c r="V15" s="45">
        <v>37.9</v>
      </c>
      <c r="W15" s="45">
        <v>37.9</v>
      </c>
      <c r="X15" s="45">
        <v>37.9</v>
      </c>
      <c r="Y15" s="45">
        <v>37.9</v>
      </c>
      <c r="Z15" s="45">
        <v>37.9</v>
      </c>
      <c r="AA15" s="45">
        <v>37.9</v>
      </c>
      <c r="AB15" s="45">
        <v>37.9</v>
      </c>
      <c r="AC15" s="45">
        <v>37.9</v>
      </c>
      <c r="AD15" s="45">
        <v>37.9</v>
      </c>
      <c r="AE15" s="45">
        <v>37.9</v>
      </c>
      <c r="AF15" s="45">
        <v>37.9</v>
      </c>
      <c r="AG15" s="49">
        <v>45</v>
      </c>
      <c r="AH15" s="47">
        <f t="shared" si="2"/>
        <v>46.7</v>
      </c>
      <c r="AI15" s="48">
        <f t="shared" si="3"/>
        <v>37.9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0</v>
      </c>
      <c r="R16" s="45">
        <v>0</v>
      </c>
      <c r="S16" s="45">
        <v>0</v>
      </c>
      <c r="T16" s="45">
        <v>0</v>
      </c>
      <c r="U16" s="45">
        <v>20</v>
      </c>
      <c r="V16" s="45">
        <v>20</v>
      </c>
      <c r="W16" s="45">
        <v>20</v>
      </c>
      <c r="X16" s="45">
        <v>20</v>
      </c>
      <c r="Y16" s="45">
        <v>20</v>
      </c>
      <c r="Z16" s="45">
        <v>20</v>
      </c>
      <c r="AA16" s="45">
        <v>20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16</v>
      </c>
      <c r="V17" s="45">
        <v>16</v>
      </c>
      <c r="W17" s="45">
        <v>16</v>
      </c>
      <c r="X17" s="45">
        <v>16</v>
      </c>
      <c r="Y17" s="45">
        <v>16</v>
      </c>
      <c r="Z17" s="45">
        <v>16</v>
      </c>
      <c r="AA17" s="45">
        <v>16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29</v>
      </c>
      <c r="AI17" s="48">
        <f t="shared" si="3"/>
        <v>16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35</v>
      </c>
      <c r="F18" s="45">
        <v>35</v>
      </c>
      <c r="G18" s="45">
        <v>35</v>
      </c>
      <c r="H18" s="45">
        <v>35</v>
      </c>
      <c r="I18" s="45">
        <v>35</v>
      </c>
      <c r="J18" s="45">
        <v>35</v>
      </c>
      <c r="K18" s="45">
        <v>35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35</v>
      </c>
      <c r="R18" s="45">
        <v>35</v>
      </c>
      <c r="S18" s="45">
        <v>35</v>
      </c>
      <c r="T18" s="45">
        <v>35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35</v>
      </c>
      <c r="AA18" s="45">
        <v>35</v>
      </c>
      <c r="AB18" s="45">
        <v>35</v>
      </c>
      <c r="AC18" s="45">
        <v>35</v>
      </c>
      <c r="AD18" s="45">
        <v>35</v>
      </c>
      <c r="AE18" s="45">
        <v>35</v>
      </c>
      <c r="AF18" s="45">
        <v>35</v>
      </c>
      <c r="AG18" s="49">
        <v>38.46</v>
      </c>
      <c r="AH18" s="47">
        <f t="shared" si="2"/>
        <v>38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5</v>
      </c>
      <c r="I20" s="45">
        <v>5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15</v>
      </c>
      <c r="Z20" s="45">
        <v>15.7</v>
      </c>
      <c r="AA20" s="45">
        <v>15.7</v>
      </c>
      <c r="AB20" s="45">
        <v>15.7</v>
      </c>
      <c r="AC20" s="45">
        <v>5.7</v>
      </c>
      <c r="AD20" s="45">
        <v>5.7</v>
      </c>
      <c r="AE20" s="45">
        <v>0</v>
      </c>
      <c r="AF20" s="45">
        <v>0</v>
      </c>
      <c r="AG20" s="51">
        <v>30</v>
      </c>
      <c r="AH20" s="47">
        <f t="shared" si="2"/>
        <v>15.7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26</v>
      </c>
      <c r="C21" s="45">
        <v>26</v>
      </c>
      <c r="D21" s="45">
        <v>26</v>
      </c>
      <c r="E21" s="45">
        <v>26</v>
      </c>
      <c r="F21" s="45">
        <v>26</v>
      </c>
      <c r="G21" s="45">
        <v>26</v>
      </c>
      <c r="H21" s="45">
        <v>26</v>
      </c>
      <c r="I21" s="45">
        <v>26</v>
      </c>
      <c r="J21" s="45">
        <v>26</v>
      </c>
      <c r="K21" s="45">
        <v>26</v>
      </c>
      <c r="L21" s="45">
        <v>26</v>
      </c>
      <c r="M21" s="45">
        <v>26</v>
      </c>
      <c r="N21" s="45">
        <v>26</v>
      </c>
      <c r="O21" s="45">
        <v>26</v>
      </c>
      <c r="P21" s="45">
        <v>26</v>
      </c>
      <c r="Q21" s="45">
        <v>26</v>
      </c>
      <c r="R21" s="45">
        <v>26</v>
      </c>
      <c r="S21" s="45">
        <v>26</v>
      </c>
      <c r="T21" s="45">
        <v>26</v>
      </c>
      <c r="U21" s="45">
        <v>26</v>
      </c>
      <c r="V21" s="45">
        <v>26</v>
      </c>
      <c r="W21" s="45">
        <v>26</v>
      </c>
      <c r="X21" s="45">
        <v>26</v>
      </c>
      <c r="Y21" s="45">
        <v>26</v>
      </c>
      <c r="Z21" s="45">
        <v>26</v>
      </c>
      <c r="AA21" s="45">
        <v>26</v>
      </c>
      <c r="AB21" s="45">
        <v>20</v>
      </c>
      <c r="AC21" s="45">
        <v>20</v>
      </c>
      <c r="AD21" s="45">
        <v>20</v>
      </c>
      <c r="AE21" s="45">
        <v>24</v>
      </c>
      <c r="AF21" s="45">
        <v>24</v>
      </c>
      <c r="AG21" s="49">
        <v>24.2</v>
      </c>
      <c r="AH21" s="47">
        <f t="shared" si="2"/>
        <v>26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20.9</v>
      </c>
      <c r="Q22" s="45">
        <v>20.9</v>
      </c>
      <c r="R22" s="45">
        <v>20.9</v>
      </c>
      <c r="S22" s="45">
        <v>20.9</v>
      </c>
      <c r="T22" s="45">
        <v>20.9</v>
      </c>
      <c r="U22" s="45">
        <v>20.9</v>
      </c>
      <c r="V22" s="45">
        <v>20.9</v>
      </c>
      <c r="W22" s="45">
        <v>20.9</v>
      </c>
      <c r="X22" s="45">
        <v>20.9</v>
      </c>
      <c r="Y22" s="45">
        <v>20.9</v>
      </c>
      <c r="Z22" s="45">
        <v>20.9</v>
      </c>
      <c r="AA22" s="45">
        <v>20.9</v>
      </c>
      <c r="AB22" s="45">
        <v>20.9</v>
      </c>
      <c r="AC22" s="45">
        <v>20.9</v>
      </c>
      <c r="AD22" s="45">
        <v>20.9</v>
      </c>
      <c r="AE22" s="45">
        <v>25.5</v>
      </c>
      <c r="AF22" s="45">
        <v>25.5</v>
      </c>
      <c r="AG22" s="49">
        <v>28</v>
      </c>
      <c r="AH22" s="47">
        <f t="shared" si="2"/>
        <v>28.6</v>
      </c>
      <c r="AI22" s="48">
        <f t="shared" si="3"/>
        <v>20.9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4.5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13.5</v>
      </c>
      <c r="Z23" s="45">
        <v>13.5</v>
      </c>
      <c r="AA23" s="45">
        <v>13.5</v>
      </c>
      <c r="AB23" s="45">
        <v>13.5</v>
      </c>
      <c r="AC23" s="45">
        <v>13.5</v>
      </c>
      <c r="AD23" s="45">
        <v>13.5</v>
      </c>
      <c r="AE23" s="45">
        <v>0</v>
      </c>
      <c r="AF23" s="45">
        <v>0</v>
      </c>
      <c r="AG23" s="51">
        <v>30</v>
      </c>
      <c r="AH23" s="47">
        <f t="shared" si="2"/>
        <v>13.5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26.1</v>
      </c>
      <c r="C24" s="45">
        <v>26.1</v>
      </c>
      <c r="D24" s="45">
        <v>26.1</v>
      </c>
      <c r="E24" s="45">
        <v>26.1</v>
      </c>
      <c r="F24" s="45">
        <v>26.1</v>
      </c>
      <c r="G24" s="45">
        <v>26.1</v>
      </c>
      <c r="H24" s="45">
        <v>26.1</v>
      </c>
      <c r="I24" s="45">
        <v>26.1</v>
      </c>
      <c r="J24" s="45">
        <v>26.1</v>
      </c>
      <c r="K24" s="45">
        <v>26.1</v>
      </c>
      <c r="L24" s="45">
        <v>26.1</v>
      </c>
      <c r="M24" s="45">
        <v>26.1</v>
      </c>
      <c r="N24" s="45">
        <v>26.1</v>
      </c>
      <c r="O24" s="45">
        <v>26.1</v>
      </c>
      <c r="P24" s="45">
        <v>24.7</v>
      </c>
      <c r="Q24" s="45">
        <v>24.7</v>
      </c>
      <c r="R24" s="45">
        <v>24.7</v>
      </c>
      <c r="S24" s="45">
        <v>24.7</v>
      </c>
      <c r="T24" s="45">
        <v>24.7</v>
      </c>
      <c r="U24" s="45">
        <v>24.7</v>
      </c>
      <c r="V24" s="45">
        <v>24.7</v>
      </c>
      <c r="W24" s="45">
        <v>24.7</v>
      </c>
      <c r="X24" s="45">
        <v>24.7</v>
      </c>
      <c r="Y24" s="45">
        <v>24.7</v>
      </c>
      <c r="Z24" s="45">
        <v>24.7</v>
      </c>
      <c r="AA24" s="45">
        <v>24.7</v>
      </c>
      <c r="AB24" s="45">
        <v>24.7</v>
      </c>
      <c r="AC24" s="45">
        <v>24.7</v>
      </c>
      <c r="AD24" s="45">
        <v>24.7</v>
      </c>
      <c r="AE24" s="45">
        <v>24.5</v>
      </c>
      <c r="AF24" s="45">
        <v>24.5</v>
      </c>
      <c r="AG24" s="49">
        <v>25</v>
      </c>
      <c r="AH24" s="47">
        <f t="shared" si="2"/>
        <v>26.1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4.5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12.5</v>
      </c>
      <c r="Z27" s="45">
        <v>12.5</v>
      </c>
      <c r="AA27" s="45">
        <v>12.5</v>
      </c>
      <c r="AB27" s="45">
        <v>12.5</v>
      </c>
      <c r="AC27" s="45">
        <v>6</v>
      </c>
      <c r="AD27" s="45">
        <v>6</v>
      </c>
      <c r="AE27" s="45">
        <v>0</v>
      </c>
      <c r="AF27" s="45">
        <v>0</v>
      </c>
      <c r="AG27" s="49">
        <v>25</v>
      </c>
      <c r="AH27" s="47">
        <f t="shared" si="2"/>
        <v>12.5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0</v>
      </c>
      <c r="AA33" s="45">
        <v>0</v>
      </c>
      <c r="AB33" s="45">
        <v>5</v>
      </c>
      <c r="AC33" s="45">
        <v>5</v>
      </c>
      <c r="AD33" s="45">
        <v>5</v>
      </c>
      <c r="AE33" s="45">
        <v>4</v>
      </c>
      <c r="AF33" s="45">
        <v>4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0</v>
      </c>
      <c r="AA34" s="45">
        <v>0</v>
      </c>
      <c r="AB34" s="45">
        <v>5</v>
      </c>
      <c r="AC34" s="45">
        <v>5</v>
      </c>
      <c r="AD34" s="45">
        <v>5</v>
      </c>
      <c r="AE34" s="45">
        <v>0</v>
      </c>
      <c r="AF34" s="45">
        <v>0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15.6</v>
      </c>
      <c r="C35" s="45">
        <v>15.6</v>
      </c>
      <c r="D35" s="45">
        <v>15.6</v>
      </c>
      <c r="E35" s="45">
        <v>14</v>
      </c>
      <c r="F35" s="45">
        <v>14</v>
      </c>
      <c r="G35" s="45">
        <v>14</v>
      </c>
      <c r="H35" s="45">
        <v>14</v>
      </c>
      <c r="I35" s="45">
        <v>14</v>
      </c>
      <c r="J35" s="45">
        <v>14</v>
      </c>
      <c r="K35" s="45">
        <v>14</v>
      </c>
      <c r="L35" s="45">
        <v>14</v>
      </c>
      <c r="M35" s="45">
        <v>14</v>
      </c>
      <c r="N35" s="45">
        <v>14</v>
      </c>
      <c r="O35" s="45">
        <v>14</v>
      </c>
      <c r="P35" s="45">
        <v>14</v>
      </c>
      <c r="Q35" s="45">
        <v>14</v>
      </c>
      <c r="R35" s="45">
        <v>14</v>
      </c>
      <c r="S35" s="45">
        <v>14</v>
      </c>
      <c r="T35" s="45">
        <v>14</v>
      </c>
      <c r="U35" s="45">
        <v>14</v>
      </c>
      <c r="V35" s="45">
        <v>14</v>
      </c>
      <c r="W35" s="45">
        <v>14</v>
      </c>
      <c r="X35" s="45">
        <v>14</v>
      </c>
      <c r="Y35" s="45">
        <v>14</v>
      </c>
      <c r="Z35" s="45">
        <v>14</v>
      </c>
      <c r="AA35" s="45">
        <v>14</v>
      </c>
      <c r="AB35" s="45">
        <v>14</v>
      </c>
      <c r="AC35" s="45">
        <v>14</v>
      </c>
      <c r="AD35" s="45">
        <v>14</v>
      </c>
      <c r="AE35" s="45">
        <v>14</v>
      </c>
      <c r="AF35" s="45">
        <v>14</v>
      </c>
      <c r="AG35" s="49">
        <v>14.9</v>
      </c>
      <c r="AH35" s="47">
        <f t="shared" si="2"/>
        <v>15.6</v>
      </c>
      <c r="AI35" s="48">
        <f t="shared" si="3"/>
        <v>14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2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6</v>
      </c>
      <c r="Z39" s="45">
        <v>6</v>
      </c>
      <c r="AA39" s="45">
        <v>6</v>
      </c>
      <c r="AB39" s="45">
        <v>6</v>
      </c>
      <c r="AC39" s="45">
        <v>6</v>
      </c>
      <c r="AD39" s="45">
        <v>6</v>
      </c>
      <c r="AE39" s="45">
        <v>0</v>
      </c>
      <c r="AF39" s="45">
        <v>0</v>
      </c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8</v>
      </c>
      <c r="N40" s="45">
        <v>8</v>
      </c>
      <c r="O40" s="45">
        <v>8</v>
      </c>
      <c r="P40" s="45">
        <v>8</v>
      </c>
      <c r="Q40" s="45">
        <v>8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8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8</v>
      </c>
      <c r="AI40" s="48">
        <f t="shared" si="3"/>
        <v>8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7</v>
      </c>
      <c r="C41" s="45">
        <v>7</v>
      </c>
      <c r="D41" s="45">
        <v>7</v>
      </c>
      <c r="E41" s="45">
        <v>7</v>
      </c>
      <c r="F41" s="45">
        <v>7</v>
      </c>
      <c r="G41" s="45">
        <v>7</v>
      </c>
      <c r="H41" s="45">
        <v>7</v>
      </c>
      <c r="I41" s="45">
        <v>7</v>
      </c>
      <c r="J41" s="45">
        <v>7</v>
      </c>
      <c r="K41" s="45">
        <v>7</v>
      </c>
      <c r="L41" s="45">
        <v>7</v>
      </c>
      <c r="M41" s="45">
        <v>7</v>
      </c>
      <c r="N41" s="45">
        <v>7</v>
      </c>
      <c r="O41" s="45">
        <v>7</v>
      </c>
      <c r="P41" s="45">
        <v>7</v>
      </c>
      <c r="Q41" s="45">
        <v>7</v>
      </c>
      <c r="R41" s="45">
        <v>7</v>
      </c>
      <c r="S41" s="45">
        <v>7</v>
      </c>
      <c r="T41" s="45">
        <v>7</v>
      </c>
      <c r="U41" s="45">
        <v>7</v>
      </c>
      <c r="V41" s="45">
        <v>7</v>
      </c>
      <c r="W41" s="45">
        <v>7</v>
      </c>
      <c r="X41" s="45">
        <v>7</v>
      </c>
      <c r="Y41" s="45">
        <v>7</v>
      </c>
      <c r="Z41" s="45">
        <v>7</v>
      </c>
      <c r="AA41" s="45">
        <v>7</v>
      </c>
      <c r="AB41" s="45">
        <v>7</v>
      </c>
      <c r="AC41" s="45">
        <v>7</v>
      </c>
      <c r="AD41" s="45">
        <v>7</v>
      </c>
      <c r="AE41" s="45">
        <v>7</v>
      </c>
      <c r="AF41" s="45">
        <v>7</v>
      </c>
      <c r="AG41" s="49">
        <v>12</v>
      </c>
      <c r="AH41" s="47">
        <f t="shared" si="2"/>
        <v>7</v>
      </c>
      <c r="AI41" s="48">
        <f t="shared" si="3"/>
        <v>7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121</v>
      </c>
      <c r="C49" s="56">
        <v>121</v>
      </c>
      <c r="D49" s="56">
        <v>121</v>
      </c>
      <c r="E49" s="56">
        <v>121</v>
      </c>
      <c r="F49" s="56">
        <f>35+86.3</f>
        <v>121.3</v>
      </c>
      <c r="G49" s="56">
        <f>35+86.3</f>
        <v>121.3</v>
      </c>
      <c r="H49" s="56">
        <f>32.4+83.8</f>
        <v>116.19999999999999</v>
      </c>
      <c r="I49" s="56">
        <f>32.4+83.8</f>
        <v>116.19999999999999</v>
      </c>
      <c r="J49" s="56">
        <f>32.4+83.8</f>
        <v>116.19999999999999</v>
      </c>
      <c r="K49" s="56">
        <f>35.2+85.7</f>
        <v>120.9</v>
      </c>
      <c r="L49" s="56">
        <f>35.2+85.7</f>
        <v>120.9</v>
      </c>
      <c r="M49" s="56">
        <f>35.2+85.7</f>
        <v>120.9</v>
      </c>
      <c r="N49" s="56">
        <f>35.2+85.7</f>
        <v>120.9</v>
      </c>
      <c r="O49" s="56">
        <f>35.2+85.7</f>
        <v>120.9</v>
      </c>
      <c r="P49" s="58">
        <v>120</v>
      </c>
      <c r="Q49" s="58">
        <v>120</v>
      </c>
      <c r="R49" s="58">
        <v>120</v>
      </c>
      <c r="S49" s="58">
        <v>120</v>
      </c>
      <c r="T49" s="58">
        <v>120</v>
      </c>
      <c r="U49" s="58">
        <v>120</v>
      </c>
      <c r="V49" s="58">
        <v>120</v>
      </c>
      <c r="W49" s="58">
        <v>120</v>
      </c>
      <c r="X49" s="58">
        <v>120</v>
      </c>
      <c r="Y49" s="58">
        <v>120</v>
      </c>
      <c r="Z49" s="58">
        <v>120</v>
      </c>
      <c r="AA49" s="56">
        <v>120</v>
      </c>
      <c r="AB49" s="56">
        <v>120</v>
      </c>
      <c r="AC49" s="56">
        <v>120</v>
      </c>
      <c r="AD49" s="56">
        <v>120</v>
      </c>
      <c r="AE49" s="56">
        <v>120</v>
      </c>
      <c r="AF49" s="56">
        <v>120</v>
      </c>
      <c r="AG49" s="54">
        <v>240</v>
      </c>
      <c r="AH49" s="47">
        <f t="shared" si="2"/>
        <v>121.3</v>
      </c>
      <c r="AI49" s="48">
        <f t="shared" si="3"/>
        <v>116.19999999999999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1114.6000000000001</v>
      </c>
      <c r="C50" s="60">
        <f t="shared" si="4"/>
        <v>1114.6000000000001</v>
      </c>
      <c r="D50" s="60">
        <f t="shared" si="4"/>
        <v>1114.6000000000001</v>
      </c>
      <c r="E50" s="60">
        <f t="shared" si="4"/>
        <v>1106</v>
      </c>
      <c r="F50" s="60">
        <f t="shared" si="4"/>
        <v>1106</v>
      </c>
      <c r="G50" s="60">
        <f t="shared" si="4"/>
        <v>1107.4000000000001</v>
      </c>
      <c r="H50" s="60">
        <f t="shared" si="4"/>
        <v>1112.4000000000001</v>
      </c>
      <c r="I50" s="60">
        <f t="shared" si="4"/>
        <v>1132.4000000000001</v>
      </c>
      <c r="J50" s="60">
        <f t="shared" si="4"/>
        <v>1107.4000000000001</v>
      </c>
      <c r="K50" s="60">
        <f t="shared" si="4"/>
        <v>1107.4000000000001</v>
      </c>
      <c r="L50" s="60">
        <f t="shared" si="4"/>
        <v>1107.4000000000001</v>
      </c>
      <c r="M50" s="60">
        <f t="shared" si="4"/>
        <v>1107.4000000000001</v>
      </c>
      <c r="N50" s="60">
        <f t="shared" si="4"/>
        <v>1107.4000000000001</v>
      </c>
      <c r="O50" s="60">
        <f t="shared" si="4"/>
        <v>1107.4000000000001</v>
      </c>
      <c r="P50" s="60">
        <f t="shared" si="4"/>
        <v>1089.9000000000001</v>
      </c>
      <c r="Q50" s="60">
        <f t="shared" si="4"/>
        <v>1045.9000000000001</v>
      </c>
      <c r="R50" s="60">
        <f t="shared" si="4"/>
        <v>1045.9000000000001</v>
      </c>
      <c r="S50" s="60">
        <f t="shared" ref="S50:U50" si="5">SUM(S11:S48)</f>
        <v>1045.9000000000001</v>
      </c>
      <c r="T50" s="60">
        <f t="shared" si="5"/>
        <v>1045.9000000000001</v>
      </c>
      <c r="U50" s="60">
        <f t="shared" si="5"/>
        <v>1053.9000000000001</v>
      </c>
      <c r="V50" s="60">
        <f t="shared" ref="V50:W50" si="6">SUM(V11:V48)</f>
        <v>1050.9000000000001</v>
      </c>
      <c r="W50" s="60">
        <f t="shared" si="6"/>
        <v>1050.9000000000001</v>
      </c>
      <c r="X50" s="60">
        <f t="shared" ref="X50:Y50" si="7">SUM(X11:X48)</f>
        <v>1050.9000000000001</v>
      </c>
      <c r="Y50" s="60">
        <f t="shared" si="7"/>
        <v>1105.9000000000001</v>
      </c>
      <c r="Z50" s="60">
        <f t="shared" ref="Z50:AA50" si="8">SUM(Z11:Z48)</f>
        <v>1114.8</v>
      </c>
      <c r="AA50" s="60">
        <f t="shared" si="8"/>
        <v>1114.8</v>
      </c>
      <c r="AB50" s="60">
        <f t="shared" si="4"/>
        <v>1155.8</v>
      </c>
      <c r="AC50" s="60">
        <f t="shared" si="4"/>
        <v>1139.3</v>
      </c>
      <c r="AD50" s="60">
        <f t="shared" si="4"/>
        <v>1139.3</v>
      </c>
      <c r="AE50" s="60">
        <f t="shared" si="4"/>
        <v>1097.5</v>
      </c>
      <c r="AF50" s="60">
        <f t="shared" si="4"/>
        <v>1097.5</v>
      </c>
      <c r="AG50" s="61">
        <f>SUM(AG13:AG48)</f>
        <v>922.14</v>
      </c>
      <c r="AH50" s="47">
        <f t="shared" si="2"/>
        <v>1155.8</v>
      </c>
      <c r="AI50" s="48">
        <f t="shared" si="3"/>
        <v>1045.9000000000001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384</v>
      </c>
      <c r="U51" s="45">
        <v>384</v>
      </c>
      <c r="V51" s="45">
        <v>384</v>
      </c>
      <c r="W51" s="45">
        <v>384</v>
      </c>
      <c r="X51" s="45">
        <v>384</v>
      </c>
      <c r="Y51" s="45">
        <v>384</v>
      </c>
      <c r="Z51" s="45">
        <v>384</v>
      </c>
      <c r="AA51" s="45">
        <v>380</v>
      </c>
      <c r="AB51" s="45">
        <v>380</v>
      </c>
      <c r="AC51" s="45">
        <v>380</v>
      </c>
      <c r="AD51" s="45">
        <v>380</v>
      </c>
      <c r="AE51" s="45">
        <v>400</v>
      </c>
      <c r="AF51" s="45">
        <v>420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55</v>
      </c>
      <c r="L52" s="64">
        <v>55</v>
      </c>
      <c r="M52" s="64">
        <v>55</v>
      </c>
      <c r="N52" s="64">
        <v>55</v>
      </c>
      <c r="O52" s="64">
        <v>55</v>
      </c>
      <c r="P52" s="64">
        <v>55</v>
      </c>
      <c r="Q52" s="64">
        <v>55</v>
      </c>
      <c r="R52" s="64">
        <v>55</v>
      </c>
      <c r="S52" s="64">
        <v>55</v>
      </c>
      <c r="T52" s="64">
        <v>55</v>
      </c>
      <c r="U52" s="64">
        <v>55</v>
      </c>
      <c r="V52" s="64">
        <v>55</v>
      </c>
      <c r="W52" s="64">
        <v>55</v>
      </c>
      <c r="X52" s="64">
        <v>55</v>
      </c>
      <c r="Y52" s="64">
        <v>55</v>
      </c>
      <c r="Z52" s="64">
        <v>55</v>
      </c>
      <c r="AA52" s="64">
        <v>55</v>
      </c>
      <c r="AB52" s="64">
        <v>50</v>
      </c>
      <c r="AC52" s="64">
        <v>50</v>
      </c>
      <c r="AD52" s="64">
        <v>50</v>
      </c>
      <c r="AE52" s="64">
        <v>50</v>
      </c>
      <c r="AF52" s="64">
        <v>50</v>
      </c>
      <c r="AG52" s="54">
        <v>60</v>
      </c>
      <c r="AH52" s="47">
        <f t="shared" si="2"/>
        <v>55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22.5</v>
      </c>
      <c r="AC53" s="66">
        <v>22.5</v>
      </c>
      <c r="AD53" s="66">
        <v>22.5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9">SUM(B51:B53)</f>
        <v>533.4</v>
      </c>
      <c r="C54" s="60">
        <f t="shared" si="9"/>
        <v>533.4</v>
      </c>
      <c r="D54" s="60">
        <f t="shared" si="9"/>
        <v>533.4</v>
      </c>
      <c r="E54" s="60">
        <f t="shared" si="9"/>
        <v>533.4</v>
      </c>
      <c r="F54" s="60">
        <f t="shared" si="9"/>
        <v>533.4</v>
      </c>
      <c r="G54" s="60">
        <f t="shared" si="9"/>
        <v>533.4</v>
      </c>
      <c r="H54" s="60">
        <f t="shared" si="9"/>
        <v>533.4</v>
      </c>
      <c r="I54" s="60">
        <f t="shared" si="9"/>
        <v>533.4</v>
      </c>
      <c r="J54" s="60">
        <f t="shared" si="9"/>
        <v>533.4</v>
      </c>
      <c r="K54" s="60">
        <f t="shared" si="9"/>
        <v>533.4</v>
      </c>
      <c r="L54" s="60">
        <f t="shared" si="9"/>
        <v>533.4</v>
      </c>
      <c r="M54" s="60">
        <f t="shared" si="9"/>
        <v>533.4</v>
      </c>
      <c r="N54" s="60">
        <f t="shared" si="9"/>
        <v>533.4</v>
      </c>
      <c r="O54" s="60">
        <f t="shared" si="9"/>
        <v>533.4</v>
      </c>
      <c r="P54" s="60">
        <f t="shared" si="9"/>
        <v>533.4</v>
      </c>
      <c r="Q54" s="60">
        <f t="shared" si="9"/>
        <v>533.4</v>
      </c>
      <c r="R54" s="60">
        <f t="shared" si="9"/>
        <v>533.4</v>
      </c>
      <c r="S54" s="60">
        <f t="shared" ref="S54:U54" si="10">SUM(S51:S53)</f>
        <v>533.4</v>
      </c>
      <c r="T54" s="60">
        <f t="shared" si="10"/>
        <v>461.4</v>
      </c>
      <c r="U54" s="60">
        <f t="shared" si="10"/>
        <v>461.4</v>
      </c>
      <c r="V54" s="60">
        <f t="shared" ref="V54:W54" si="11">SUM(V51:V53)</f>
        <v>461.4</v>
      </c>
      <c r="W54" s="60">
        <f t="shared" si="11"/>
        <v>461.4</v>
      </c>
      <c r="X54" s="60">
        <f t="shared" ref="X54:Y54" si="12">SUM(X51:X53)</f>
        <v>461.4</v>
      </c>
      <c r="Y54" s="60">
        <f t="shared" si="12"/>
        <v>461.4</v>
      </c>
      <c r="Z54" s="60">
        <f t="shared" ref="Z54:AA54" si="13">SUM(Z51:Z53)</f>
        <v>461.4</v>
      </c>
      <c r="AA54" s="60">
        <f t="shared" si="13"/>
        <v>457.4</v>
      </c>
      <c r="AB54" s="60">
        <f t="shared" si="9"/>
        <v>452.5</v>
      </c>
      <c r="AC54" s="60">
        <f t="shared" si="9"/>
        <v>452.5</v>
      </c>
      <c r="AD54" s="60">
        <f t="shared" si="9"/>
        <v>452.5</v>
      </c>
      <c r="AE54" s="60">
        <f t="shared" si="9"/>
        <v>472.4</v>
      </c>
      <c r="AF54" s="60">
        <f t="shared" si="9"/>
        <v>492.4</v>
      </c>
      <c r="AG54" s="61">
        <f t="shared" si="9"/>
        <v>538.1</v>
      </c>
      <c r="AH54" s="47">
        <f t="shared" si="2"/>
        <v>533.4</v>
      </c>
      <c r="AI54" s="48">
        <f t="shared" si="3"/>
        <v>452.5</v>
      </c>
      <c r="AK54" s="50"/>
    </row>
    <row r="55" spans="1:41" x14ac:dyDescent="0.25">
      <c r="A55" s="44" t="s">
        <v>63</v>
      </c>
      <c r="B55" s="45">
        <v>144.6</v>
      </c>
      <c r="C55" s="45">
        <v>130</v>
      </c>
      <c r="D55" s="45">
        <v>130</v>
      </c>
      <c r="E55" s="45">
        <v>130</v>
      </c>
      <c r="F55" s="45">
        <v>130.30000000000001</v>
      </c>
      <c r="G55" s="45">
        <v>130.30000000000001</v>
      </c>
      <c r="H55" s="45">
        <v>131.4</v>
      </c>
      <c r="I55" s="45">
        <v>131.4</v>
      </c>
      <c r="J55" s="45">
        <v>106.3</v>
      </c>
      <c r="K55" s="45">
        <v>114.6</v>
      </c>
      <c r="L55" s="45">
        <v>128.4</v>
      </c>
      <c r="M55" s="45">
        <v>134</v>
      </c>
      <c r="N55" s="45">
        <v>126</v>
      </c>
      <c r="O55" s="45">
        <v>116</v>
      </c>
      <c r="P55" s="45">
        <v>116</v>
      </c>
      <c r="Q55" s="45">
        <v>116</v>
      </c>
      <c r="R55" s="45">
        <v>72</v>
      </c>
      <c r="S55" s="45">
        <v>72</v>
      </c>
      <c r="T55" s="45">
        <v>72</v>
      </c>
      <c r="U55" s="45">
        <v>41</v>
      </c>
      <c r="V55" s="45">
        <v>45.65</v>
      </c>
      <c r="W55" s="45">
        <v>45.65</v>
      </c>
      <c r="X55" s="45">
        <v>121.4</v>
      </c>
      <c r="Y55" s="45">
        <v>121.4</v>
      </c>
      <c r="Z55" s="45">
        <v>121.4</v>
      </c>
      <c r="AA55" s="45">
        <v>121.4</v>
      </c>
      <c r="AB55" s="45">
        <v>103.2</v>
      </c>
      <c r="AC55" s="45">
        <v>138.5</v>
      </c>
      <c r="AD55" s="45">
        <v>138.5</v>
      </c>
      <c r="AE55" s="45">
        <v>136.80000000000001</v>
      </c>
      <c r="AF55" s="45">
        <v>121.3</v>
      </c>
      <c r="AG55" s="51">
        <v>144</v>
      </c>
      <c r="AH55" s="47">
        <f t="shared" si="2"/>
        <v>144.6</v>
      </c>
      <c r="AI55" s="48">
        <f t="shared" si="3"/>
        <v>41</v>
      </c>
      <c r="AK55" s="50"/>
    </row>
    <row r="56" spans="1:41" x14ac:dyDescent="0.25">
      <c r="A56" s="53" t="s">
        <v>64</v>
      </c>
      <c r="B56" s="64">
        <v>69.599999999999994</v>
      </c>
      <c r="C56" s="64">
        <v>69.599999999999994</v>
      </c>
      <c r="D56" s="64">
        <v>58.4</v>
      </c>
      <c r="E56" s="64">
        <v>58.4</v>
      </c>
      <c r="F56" s="64">
        <v>60.1</v>
      </c>
      <c r="G56" s="64">
        <v>60.1</v>
      </c>
      <c r="H56" s="64">
        <v>60.9</v>
      </c>
      <c r="I56" s="64">
        <v>60.2</v>
      </c>
      <c r="J56" s="64">
        <v>56.2</v>
      </c>
      <c r="K56" s="64">
        <v>55.9</v>
      </c>
      <c r="L56" s="64">
        <v>55</v>
      </c>
      <c r="M56" s="64">
        <v>70</v>
      </c>
      <c r="N56" s="64">
        <v>70</v>
      </c>
      <c r="O56" s="64">
        <v>60</v>
      </c>
      <c r="P56" s="64">
        <v>61.6</v>
      </c>
      <c r="Q56" s="64">
        <v>51</v>
      </c>
      <c r="R56" s="64">
        <v>51</v>
      </c>
      <c r="S56" s="64">
        <v>51</v>
      </c>
      <c r="T56" s="64">
        <v>51</v>
      </c>
      <c r="U56" s="64">
        <v>51</v>
      </c>
      <c r="V56" s="64">
        <v>51</v>
      </c>
      <c r="W56" s="64">
        <v>51</v>
      </c>
      <c r="X56" s="64">
        <v>65.8</v>
      </c>
      <c r="Y56" s="64">
        <v>65.8</v>
      </c>
      <c r="Z56" s="64">
        <v>65.8</v>
      </c>
      <c r="AA56" s="45">
        <v>59.3</v>
      </c>
      <c r="AB56" s="45">
        <v>49.2</v>
      </c>
      <c r="AC56" s="45">
        <v>69.3</v>
      </c>
      <c r="AD56" s="45">
        <v>69.3</v>
      </c>
      <c r="AE56" s="45">
        <v>60</v>
      </c>
      <c r="AF56" s="45">
        <v>60</v>
      </c>
      <c r="AG56" s="54">
        <v>70</v>
      </c>
      <c r="AH56" s="47">
        <f t="shared" si="2"/>
        <v>70</v>
      </c>
      <c r="AI56" s="48">
        <f t="shared" si="3"/>
        <v>49.2</v>
      </c>
      <c r="AK56" s="50"/>
    </row>
    <row r="57" spans="1:41" x14ac:dyDescent="0.25">
      <c r="A57" s="53" t="s">
        <v>65</v>
      </c>
      <c r="B57" s="64">
        <v>66</v>
      </c>
      <c r="C57" s="64">
        <v>54</v>
      </c>
      <c r="D57" s="64">
        <v>58.3</v>
      </c>
      <c r="E57" s="64">
        <v>58.3</v>
      </c>
      <c r="F57" s="64">
        <v>58.3</v>
      </c>
      <c r="G57" s="64">
        <v>51.9</v>
      </c>
      <c r="H57" s="64">
        <v>65.5</v>
      </c>
      <c r="I57" s="64">
        <v>51.1</v>
      </c>
      <c r="J57" s="64">
        <v>51.1</v>
      </c>
      <c r="K57" s="64">
        <v>56.1</v>
      </c>
      <c r="L57" s="64">
        <v>55.3</v>
      </c>
      <c r="M57" s="64">
        <v>52.4</v>
      </c>
      <c r="N57" s="64">
        <v>50.4</v>
      </c>
      <c r="O57" s="64">
        <v>50.4</v>
      </c>
      <c r="P57" s="64">
        <v>54.7</v>
      </c>
      <c r="Q57" s="64">
        <v>54.7</v>
      </c>
      <c r="R57" s="64">
        <v>54.7</v>
      </c>
      <c r="S57" s="64">
        <v>54.7</v>
      </c>
      <c r="T57" s="64">
        <v>54.7</v>
      </c>
      <c r="U57" s="64">
        <v>54.7</v>
      </c>
      <c r="V57" s="64">
        <v>54.7</v>
      </c>
      <c r="W57" s="64">
        <v>54.7</v>
      </c>
      <c r="X57" s="64">
        <v>65.3</v>
      </c>
      <c r="Y57" s="64">
        <v>65.3</v>
      </c>
      <c r="Z57" s="64">
        <v>65.3</v>
      </c>
      <c r="AA57" s="45">
        <v>47.6</v>
      </c>
      <c r="AB57" s="45">
        <v>52.3</v>
      </c>
      <c r="AC57" s="45">
        <v>65.2</v>
      </c>
      <c r="AD57" s="45">
        <v>65.2</v>
      </c>
      <c r="AE57" s="45">
        <v>65.2</v>
      </c>
      <c r="AF57" s="45">
        <v>60</v>
      </c>
      <c r="AG57" s="54">
        <v>69</v>
      </c>
      <c r="AH57" s="47">
        <f t="shared" si="2"/>
        <v>66</v>
      </c>
      <c r="AI57" s="48">
        <f t="shared" si="3"/>
        <v>47.6</v>
      </c>
      <c r="AK57" s="50"/>
    </row>
    <row r="58" spans="1:41" x14ac:dyDescent="0.25">
      <c r="A58" s="53" t="s">
        <v>66</v>
      </c>
      <c r="B58" s="64">
        <v>60.9</v>
      </c>
      <c r="C58" s="64">
        <v>60.9</v>
      </c>
      <c r="D58" s="64">
        <v>60.9</v>
      </c>
      <c r="E58" s="64">
        <v>60.9</v>
      </c>
      <c r="F58" s="56">
        <v>61.4</v>
      </c>
      <c r="G58" s="56">
        <v>52.4</v>
      </c>
      <c r="H58" s="56">
        <v>52.1</v>
      </c>
      <c r="I58" s="56">
        <v>52.4</v>
      </c>
      <c r="J58" s="56">
        <v>41.3</v>
      </c>
      <c r="K58" s="56">
        <v>42.1</v>
      </c>
      <c r="L58" s="56">
        <v>50.4</v>
      </c>
      <c r="M58" s="56">
        <v>41</v>
      </c>
      <c r="N58" s="56">
        <v>0</v>
      </c>
      <c r="O58" s="56">
        <v>0</v>
      </c>
      <c r="P58" s="56">
        <v>0</v>
      </c>
      <c r="Q58" s="56">
        <v>0</v>
      </c>
      <c r="R58" s="56">
        <v>0</v>
      </c>
      <c r="S58" s="56">
        <v>0</v>
      </c>
      <c r="T58" s="56">
        <v>0</v>
      </c>
      <c r="U58" s="56">
        <v>0</v>
      </c>
      <c r="V58" s="56">
        <v>0</v>
      </c>
      <c r="W58" s="56">
        <v>0</v>
      </c>
      <c r="X58" s="56">
        <v>0</v>
      </c>
      <c r="Y58" s="56">
        <v>0</v>
      </c>
      <c r="Z58" s="56">
        <v>0</v>
      </c>
      <c r="AA58" s="45">
        <v>61.4</v>
      </c>
      <c r="AB58" s="45">
        <v>40.9</v>
      </c>
      <c r="AC58" s="45">
        <v>60.9</v>
      </c>
      <c r="AD58" s="45">
        <v>60.9</v>
      </c>
      <c r="AE58" s="45">
        <v>50.6</v>
      </c>
      <c r="AF58" s="45">
        <v>42.1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64">
        <v>28</v>
      </c>
      <c r="F59" s="56">
        <v>28</v>
      </c>
      <c r="G59" s="56">
        <v>28</v>
      </c>
      <c r="H59" s="56">
        <v>28</v>
      </c>
      <c r="I59" s="56">
        <v>28</v>
      </c>
      <c r="J59" s="56">
        <v>28</v>
      </c>
      <c r="K59" s="56">
        <v>28</v>
      </c>
      <c r="L59" s="56">
        <v>28</v>
      </c>
      <c r="M59" s="56">
        <v>28</v>
      </c>
      <c r="N59" s="56">
        <v>20</v>
      </c>
      <c r="O59" s="56">
        <v>20</v>
      </c>
      <c r="P59" s="56">
        <v>26</v>
      </c>
      <c r="Q59" s="56">
        <v>26</v>
      </c>
      <c r="R59" s="56">
        <v>26</v>
      </c>
      <c r="S59" s="56">
        <v>26</v>
      </c>
      <c r="T59" s="56">
        <v>26</v>
      </c>
      <c r="U59" s="56">
        <v>26</v>
      </c>
      <c r="V59" s="56">
        <v>26</v>
      </c>
      <c r="W59" s="56">
        <v>26</v>
      </c>
      <c r="X59" s="56">
        <v>26</v>
      </c>
      <c r="Y59" s="56">
        <v>26</v>
      </c>
      <c r="Z59" s="56">
        <v>26</v>
      </c>
      <c r="AA59" s="45">
        <v>26</v>
      </c>
      <c r="AB59" s="45">
        <v>26</v>
      </c>
      <c r="AC59" s="45">
        <v>26</v>
      </c>
      <c r="AD59" s="45">
        <v>26</v>
      </c>
      <c r="AE59" s="45">
        <v>26</v>
      </c>
      <c r="AF59" s="45">
        <v>26</v>
      </c>
      <c r="AG59" s="54">
        <v>30</v>
      </c>
      <c r="AH59" s="47">
        <f t="shared" si="2"/>
        <v>28</v>
      </c>
      <c r="AI59" s="48">
        <f t="shared" si="3"/>
        <v>20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0</v>
      </c>
      <c r="O60" s="64">
        <v>0</v>
      </c>
      <c r="P60" s="64">
        <v>0</v>
      </c>
      <c r="Q60" s="64">
        <v>0</v>
      </c>
      <c r="R60" s="64">
        <v>0</v>
      </c>
      <c r="S60" s="64">
        <v>5.6</v>
      </c>
      <c r="T60" s="64">
        <v>4.2</v>
      </c>
      <c r="U60" s="64">
        <v>2</v>
      </c>
      <c r="V60" s="64">
        <v>1.4</v>
      </c>
      <c r="W60" s="64">
        <v>0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5.6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8.8000000000000007</v>
      </c>
      <c r="C63" s="64">
        <v>8.8000000000000007</v>
      </c>
      <c r="D63" s="64">
        <v>8.8000000000000007</v>
      </c>
      <c r="E63" s="64">
        <v>8.8000000000000007</v>
      </c>
      <c r="F63" s="64">
        <v>8.8000000000000007</v>
      </c>
      <c r="G63" s="64">
        <v>8.8000000000000007</v>
      </c>
      <c r="H63" s="64">
        <v>8.8000000000000007</v>
      </c>
      <c r="I63" s="64">
        <v>8.8000000000000007</v>
      </c>
      <c r="J63" s="64">
        <v>8.8000000000000007</v>
      </c>
      <c r="K63" s="64">
        <v>8.8000000000000007</v>
      </c>
      <c r="L63" s="64">
        <v>8.8000000000000007</v>
      </c>
      <c r="M63" s="64">
        <v>8.8000000000000007</v>
      </c>
      <c r="N63" s="64">
        <v>8.8000000000000007</v>
      </c>
      <c r="O63" s="64">
        <v>8.8000000000000007</v>
      </c>
      <c r="P63" s="64">
        <v>8.8000000000000007</v>
      </c>
      <c r="Q63" s="64">
        <v>8.8000000000000007</v>
      </c>
      <c r="R63" s="64">
        <v>8.8000000000000007</v>
      </c>
      <c r="S63" s="64">
        <v>8.8000000000000007</v>
      </c>
      <c r="T63" s="64">
        <v>8.8000000000000007</v>
      </c>
      <c r="U63" s="64">
        <v>8.8000000000000007</v>
      </c>
      <c r="V63" s="64">
        <v>8.8000000000000007</v>
      </c>
      <c r="W63" s="64">
        <v>8.8000000000000007</v>
      </c>
      <c r="X63" s="64">
        <v>8.8000000000000007</v>
      </c>
      <c r="Y63" s="64">
        <v>8.8000000000000007</v>
      </c>
      <c r="Z63" s="64">
        <v>8.8000000000000007</v>
      </c>
      <c r="AA63" s="64">
        <v>8.8000000000000007</v>
      </c>
      <c r="AB63" s="64">
        <v>10.199999999999999</v>
      </c>
      <c r="AC63" s="64">
        <v>10.199999999999999</v>
      </c>
      <c r="AD63" s="64">
        <v>10.199999999999999</v>
      </c>
      <c r="AE63" s="64">
        <v>9.3000000000000007</v>
      </c>
      <c r="AF63" s="64">
        <v>9.3000000000000007</v>
      </c>
      <c r="AG63" s="54">
        <v>14.1</v>
      </c>
      <c r="AH63" s="47">
        <f t="shared" si="2"/>
        <v>10.199999999999999</v>
      </c>
      <c r="AI63" s="48">
        <f t="shared" si="3"/>
        <v>8.8000000000000007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13.99</v>
      </c>
      <c r="C64" s="64">
        <v>13.99</v>
      </c>
      <c r="D64" s="64">
        <v>13.99</v>
      </c>
      <c r="E64" s="64">
        <v>13.99</v>
      </c>
      <c r="F64" s="64">
        <v>13.99</v>
      </c>
      <c r="G64" s="64">
        <v>13.99</v>
      </c>
      <c r="H64" s="64">
        <v>13.99</v>
      </c>
      <c r="I64" s="64">
        <v>13.99</v>
      </c>
      <c r="J64" s="64">
        <v>13.99</v>
      </c>
      <c r="K64" s="64">
        <v>13.99</v>
      </c>
      <c r="L64" s="64">
        <v>13.99</v>
      </c>
      <c r="M64" s="64">
        <v>13.99</v>
      </c>
      <c r="N64" s="64">
        <v>13.99</v>
      </c>
      <c r="O64" s="64">
        <v>13.99</v>
      </c>
      <c r="P64" s="64">
        <v>13.99</v>
      </c>
      <c r="Q64" s="64">
        <v>13.99</v>
      </c>
      <c r="R64" s="64">
        <v>13.99</v>
      </c>
      <c r="S64" s="64">
        <v>13.99</v>
      </c>
      <c r="T64" s="64">
        <v>13.99</v>
      </c>
      <c r="U64" s="64">
        <v>13.99</v>
      </c>
      <c r="V64" s="64">
        <v>13.99</v>
      </c>
      <c r="W64" s="64">
        <v>13.99</v>
      </c>
      <c r="X64" s="64">
        <v>13.99</v>
      </c>
      <c r="Y64" s="64">
        <v>13.99</v>
      </c>
      <c r="Z64" s="64">
        <v>13.99</v>
      </c>
      <c r="AA64" s="64">
        <v>13.99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9.6</v>
      </c>
      <c r="AG64" s="54">
        <v>14</v>
      </c>
      <c r="AH64" s="47">
        <f t="shared" si="2"/>
        <v>13.99</v>
      </c>
      <c r="AI64" s="48">
        <f t="shared" si="3"/>
        <v>9.6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</v>
      </c>
      <c r="AC65" s="64">
        <v>9</v>
      </c>
      <c r="AD65" s="64">
        <v>9</v>
      </c>
      <c r="AE65" s="64">
        <v>0</v>
      </c>
      <c r="AF65" s="64">
        <v>4</v>
      </c>
      <c r="AG65" s="54">
        <v>10.050000000000001</v>
      </c>
      <c r="AH65" s="47">
        <f t="shared" si="2"/>
        <v>9.1999999999999993</v>
      </c>
      <c r="AI65" s="48">
        <f t="shared" si="3"/>
        <v>0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4">SUM(B55:B67)</f>
        <v>429.83</v>
      </c>
      <c r="C68" s="60">
        <f t="shared" si="14"/>
        <v>403.23</v>
      </c>
      <c r="D68" s="60">
        <f t="shared" si="14"/>
        <v>396.33</v>
      </c>
      <c r="E68" s="60">
        <f t="shared" si="14"/>
        <v>396.33</v>
      </c>
      <c r="F68" s="60">
        <f t="shared" si="14"/>
        <v>398.83</v>
      </c>
      <c r="G68" s="60">
        <f t="shared" si="14"/>
        <v>383.43</v>
      </c>
      <c r="H68" s="60">
        <f t="shared" si="14"/>
        <v>398.63000000000005</v>
      </c>
      <c r="I68" s="60">
        <f t="shared" si="14"/>
        <v>383.83000000000004</v>
      </c>
      <c r="J68" s="60">
        <f t="shared" si="14"/>
        <v>343.63</v>
      </c>
      <c r="K68" s="60">
        <f t="shared" si="14"/>
        <v>357.43</v>
      </c>
      <c r="L68" s="60">
        <f t="shared" si="14"/>
        <v>377.83</v>
      </c>
      <c r="M68" s="60">
        <f t="shared" si="14"/>
        <v>386.13</v>
      </c>
      <c r="N68" s="60">
        <f t="shared" si="14"/>
        <v>327.13</v>
      </c>
      <c r="O68" s="60">
        <f t="shared" si="14"/>
        <v>307.13</v>
      </c>
      <c r="P68" s="60">
        <f t="shared" si="14"/>
        <v>319.03000000000003</v>
      </c>
      <c r="Q68" s="60">
        <f t="shared" si="14"/>
        <v>308.43</v>
      </c>
      <c r="R68" s="60">
        <f t="shared" si="14"/>
        <v>264.43</v>
      </c>
      <c r="S68" s="60">
        <f t="shared" ref="S68:U68" si="15">SUM(S55:S67)</f>
        <v>270.03000000000003</v>
      </c>
      <c r="T68" s="60">
        <f t="shared" si="15"/>
        <v>268.63</v>
      </c>
      <c r="U68" s="60">
        <f t="shared" si="15"/>
        <v>235.42999999999998</v>
      </c>
      <c r="V68" s="60">
        <f t="shared" ref="V68:W68" si="16">SUM(V55:V67)</f>
        <v>239.48000000000002</v>
      </c>
      <c r="W68" s="60">
        <f t="shared" si="16"/>
        <v>238.08</v>
      </c>
      <c r="X68" s="60">
        <f t="shared" ref="X68:Y68" si="17">SUM(X55:X67)</f>
        <v>339.23</v>
      </c>
      <c r="Y68" s="60">
        <f t="shared" si="17"/>
        <v>339.23</v>
      </c>
      <c r="Z68" s="60">
        <f t="shared" ref="Z68:AA68" si="18">SUM(Z55:Z67)</f>
        <v>339.23</v>
      </c>
      <c r="AA68" s="60">
        <f t="shared" si="18"/>
        <v>376.43</v>
      </c>
      <c r="AB68" s="60">
        <f t="shared" si="14"/>
        <v>333.44</v>
      </c>
      <c r="AC68" s="60">
        <f t="shared" si="14"/>
        <v>421.73999999999995</v>
      </c>
      <c r="AD68" s="60">
        <f t="shared" si="14"/>
        <v>421.73999999999995</v>
      </c>
      <c r="AE68" s="60">
        <f t="shared" si="14"/>
        <v>390.54</v>
      </c>
      <c r="AF68" s="60">
        <f t="shared" si="14"/>
        <v>361.04000000000008</v>
      </c>
      <c r="AG68" s="61">
        <f t="shared" si="14"/>
        <v>489.91</v>
      </c>
      <c r="AH68" s="47">
        <f t="shared" si="2"/>
        <v>429.83</v>
      </c>
      <c r="AI68" s="48">
        <f t="shared" si="3"/>
        <v>235.42999999999998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9">M69+M70+M71</f>
        <v>0</v>
      </c>
      <c r="N72" s="60">
        <f t="shared" si="19"/>
        <v>0</v>
      </c>
      <c r="O72" s="60">
        <f t="shared" si="19"/>
        <v>0</v>
      </c>
      <c r="P72" s="60">
        <f t="shared" si="19"/>
        <v>0</v>
      </c>
      <c r="Q72" s="60">
        <f t="shared" si="19"/>
        <v>0</v>
      </c>
      <c r="R72" s="60">
        <f t="shared" si="19"/>
        <v>0</v>
      </c>
      <c r="S72" s="60">
        <f t="shared" ref="S72:U72" si="20">S69+S70+S71</f>
        <v>0</v>
      </c>
      <c r="T72" s="60">
        <f t="shared" si="20"/>
        <v>0</v>
      </c>
      <c r="U72" s="60">
        <f t="shared" si="20"/>
        <v>0</v>
      </c>
      <c r="V72" s="60">
        <f t="shared" ref="V72:W72" si="21">V69+V70+V71</f>
        <v>0</v>
      </c>
      <c r="W72" s="60">
        <f t="shared" si="21"/>
        <v>0</v>
      </c>
      <c r="X72" s="60">
        <f t="shared" ref="X72:Y72" si="22">X69+X70+X71</f>
        <v>0</v>
      </c>
      <c r="Y72" s="60">
        <f t="shared" si="22"/>
        <v>0</v>
      </c>
      <c r="Z72" s="60">
        <f t="shared" ref="Z72:AA72" si="23">Z69+Z70+Z71</f>
        <v>0</v>
      </c>
      <c r="AA72" s="60">
        <f t="shared" si="23"/>
        <v>0</v>
      </c>
      <c r="AB72" s="60">
        <f t="shared" si="19"/>
        <v>0</v>
      </c>
      <c r="AC72" s="60">
        <f t="shared" si="19"/>
        <v>0</v>
      </c>
      <c r="AD72" s="60">
        <f t="shared" si="19"/>
        <v>0</v>
      </c>
      <c r="AE72" s="60">
        <f t="shared" si="19"/>
        <v>0</v>
      </c>
      <c r="AF72" s="60">
        <f t="shared" si="19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-12</v>
      </c>
      <c r="C73" s="45">
        <v>-21.2</v>
      </c>
      <c r="D73" s="45">
        <v>-22</v>
      </c>
      <c r="E73" s="45">
        <v>-16.899999999999999</v>
      </c>
      <c r="F73" s="45">
        <v>-33</v>
      </c>
      <c r="G73" s="45">
        <v>-26</v>
      </c>
      <c r="H73" s="45">
        <v>-37.5</v>
      </c>
      <c r="I73" s="45">
        <v>-44.4</v>
      </c>
      <c r="J73" s="45">
        <v>-41.3</v>
      </c>
      <c r="K73" s="45">
        <v>-48</v>
      </c>
      <c r="L73" s="45">
        <v>-52.9</v>
      </c>
      <c r="M73" s="45">
        <v>-45</v>
      </c>
      <c r="N73" s="45">
        <v>-45</v>
      </c>
      <c r="O73" s="45">
        <v>-24</v>
      </c>
      <c r="P73" s="45">
        <v>-19.2</v>
      </c>
      <c r="Q73" s="45">
        <v>-23</v>
      </c>
      <c r="R73" s="45">
        <v>-17</v>
      </c>
      <c r="S73" s="45">
        <v>-13.2</v>
      </c>
      <c r="T73" s="45">
        <v>-13.2</v>
      </c>
      <c r="U73" s="45"/>
      <c r="V73" s="45">
        <v>-16.7</v>
      </c>
      <c r="W73" s="45">
        <v>-41.1</v>
      </c>
      <c r="X73" s="45">
        <v>-25.9</v>
      </c>
      <c r="Y73" s="45">
        <v>-24.8</v>
      </c>
      <c r="Z73" s="45">
        <v>-8.9</v>
      </c>
      <c r="AA73" s="45">
        <v>0</v>
      </c>
      <c r="AB73" s="45">
        <v>-5.9</v>
      </c>
      <c r="AC73" s="45">
        <v>2.2000000000000002</v>
      </c>
      <c r="AD73" s="45">
        <v>-3.8</v>
      </c>
      <c r="AE73" s="45">
        <v>-9.1999999999999993</v>
      </c>
      <c r="AF73" s="45">
        <v>-8.8000000000000007</v>
      </c>
      <c r="AG73" s="51"/>
      <c r="AH73" s="47">
        <f t="shared" si="2"/>
        <v>2.2000000000000002</v>
      </c>
      <c r="AI73" s="48">
        <f t="shared" si="3"/>
        <v>-52.9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-349</v>
      </c>
      <c r="C75" s="64">
        <v>-383</v>
      </c>
      <c r="D75" s="64">
        <v>-394</v>
      </c>
      <c r="E75" s="64">
        <v>-404.4</v>
      </c>
      <c r="F75" s="64">
        <v>-424.5</v>
      </c>
      <c r="G75" s="64">
        <v>-440.2</v>
      </c>
      <c r="H75" s="64">
        <v>-469.5</v>
      </c>
      <c r="I75" s="64">
        <v>-516.70000000000005</v>
      </c>
      <c r="J75" s="64">
        <v>-408.4</v>
      </c>
      <c r="K75" s="64">
        <v>-426</v>
      </c>
      <c r="L75" s="64">
        <v>-418.3</v>
      </c>
      <c r="M75" s="64">
        <v>-457</v>
      </c>
      <c r="N75" s="64">
        <v>-415</v>
      </c>
      <c r="O75" s="64">
        <v>-485</v>
      </c>
      <c r="P75" s="64">
        <v>-492</v>
      </c>
      <c r="Q75" s="64">
        <v>-477</v>
      </c>
      <c r="R75" s="64">
        <v>-481</v>
      </c>
      <c r="S75" s="64">
        <v>-474.5</v>
      </c>
      <c r="T75" s="64">
        <v>-474.5</v>
      </c>
      <c r="U75" s="64">
        <v>-429.7</v>
      </c>
      <c r="V75" s="64">
        <v>-431.1</v>
      </c>
      <c r="W75" s="64">
        <v>-406.5</v>
      </c>
      <c r="X75" s="64">
        <v>-385.6</v>
      </c>
      <c r="Y75" s="64">
        <v>-382.5</v>
      </c>
      <c r="Z75" s="64">
        <v>-364.9</v>
      </c>
      <c r="AA75" s="64">
        <v>-323.89999999999998</v>
      </c>
      <c r="AB75" s="64">
        <v>-275</v>
      </c>
      <c r="AC75" s="64">
        <v>-345.6</v>
      </c>
      <c r="AD75" s="64">
        <v>-352</v>
      </c>
      <c r="AE75" s="64">
        <v>-389.1</v>
      </c>
      <c r="AF75" s="64">
        <v>-387.9</v>
      </c>
      <c r="AG75" s="74"/>
      <c r="AH75" s="47">
        <f t="shared" si="2"/>
        <v>-275</v>
      </c>
      <c r="AI75" s="48">
        <f t="shared" si="3"/>
        <v>-516.70000000000005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24">MAX(B77:AF77)</f>
        <v>0</v>
      </c>
      <c r="AI77" s="48">
        <f t="shared" ref="AI77:AI120" si="25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24"/>
        <v>0</v>
      </c>
      <c r="AI78" s="48">
        <f t="shared" si="25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24"/>
        <v>0</v>
      </c>
      <c r="AI79" s="48">
        <f t="shared" si="25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24"/>
        <v>0</v>
      </c>
      <c r="AI80" s="48">
        <f t="shared" si="25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24"/>
        <v>0</v>
      </c>
      <c r="AI81" s="48">
        <f t="shared" si="25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24"/>
        <v>0</v>
      </c>
      <c r="AI82" s="48">
        <f t="shared" si="25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24"/>
        <v>0</v>
      </c>
      <c r="AI83" s="48">
        <f t="shared" si="25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26">SUMIF(B73:B83,"&gt;0")</f>
        <v>0</v>
      </c>
      <c r="C84" s="60">
        <f t="shared" si="26"/>
        <v>0</v>
      </c>
      <c r="D84" s="60">
        <f t="shared" si="26"/>
        <v>0</v>
      </c>
      <c r="E84" s="60">
        <f t="shared" si="26"/>
        <v>0</v>
      </c>
      <c r="F84" s="60">
        <f t="shared" si="26"/>
        <v>0</v>
      </c>
      <c r="G84" s="60">
        <f t="shared" si="26"/>
        <v>0</v>
      </c>
      <c r="H84" s="60">
        <f t="shared" si="26"/>
        <v>0</v>
      </c>
      <c r="I84" s="60">
        <f t="shared" si="26"/>
        <v>0</v>
      </c>
      <c r="J84" s="60">
        <f t="shared" si="26"/>
        <v>0</v>
      </c>
      <c r="K84" s="60">
        <f t="shared" si="26"/>
        <v>0</v>
      </c>
      <c r="L84" s="60">
        <f t="shared" si="26"/>
        <v>0</v>
      </c>
      <c r="M84" s="60">
        <f t="shared" si="26"/>
        <v>0</v>
      </c>
      <c r="N84" s="60">
        <f t="shared" si="26"/>
        <v>0</v>
      </c>
      <c r="O84" s="60">
        <f t="shared" si="26"/>
        <v>0</v>
      </c>
      <c r="P84" s="60">
        <f t="shared" si="26"/>
        <v>0</v>
      </c>
      <c r="Q84" s="60">
        <f t="shared" si="26"/>
        <v>0</v>
      </c>
      <c r="R84" s="60">
        <f t="shared" si="26"/>
        <v>0</v>
      </c>
      <c r="S84" s="60">
        <f t="shared" ref="S84:U84" si="27">SUMIF(S73:S83,"&gt;0")</f>
        <v>0</v>
      </c>
      <c r="T84" s="60">
        <f t="shared" si="27"/>
        <v>0</v>
      </c>
      <c r="U84" s="60">
        <f t="shared" si="27"/>
        <v>0</v>
      </c>
      <c r="V84" s="60">
        <f t="shared" ref="V84:W84" si="28">SUMIF(V73:V83,"&gt;0")</f>
        <v>0</v>
      </c>
      <c r="W84" s="60">
        <f t="shared" si="28"/>
        <v>0</v>
      </c>
      <c r="X84" s="60">
        <f t="shared" ref="X84:Y84" si="29">SUMIF(X73:X83,"&gt;0")</f>
        <v>0</v>
      </c>
      <c r="Y84" s="60">
        <f t="shared" si="29"/>
        <v>0</v>
      </c>
      <c r="Z84" s="60">
        <f t="shared" ref="Z84:AA84" si="30">SUMIF(Z73:Z83,"&gt;0")</f>
        <v>0</v>
      </c>
      <c r="AA84" s="60">
        <f t="shared" si="30"/>
        <v>0</v>
      </c>
      <c r="AB84" s="60">
        <f t="shared" si="26"/>
        <v>0</v>
      </c>
      <c r="AC84" s="60">
        <f t="shared" si="26"/>
        <v>2.2000000000000002</v>
      </c>
      <c r="AD84" s="60">
        <f t="shared" si="26"/>
        <v>0</v>
      </c>
      <c r="AE84" s="60">
        <f t="shared" si="26"/>
        <v>0</v>
      </c>
      <c r="AF84" s="60">
        <f t="shared" si="26"/>
        <v>0</v>
      </c>
      <c r="AG84" s="87">
        <f>SUM(AG73:AG83)</f>
        <v>0</v>
      </c>
      <c r="AH84" s="47">
        <f t="shared" si="24"/>
        <v>2.2000000000000002</v>
      </c>
      <c r="AI84" s="48">
        <f t="shared" si="25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4"/>
        <v>0</v>
      </c>
      <c r="AI85" s="48">
        <f t="shared" si="25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4"/>
        <v>0</v>
      </c>
      <c r="AI86" s="48">
        <f t="shared" si="25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4"/>
        <v>0</v>
      </c>
      <c r="AI87" s="48">
        <f t="shared" si="25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4"/>
        <v>0</v>
      </c>
      <c r="AI88" s="48">
        <f t="shared" si="25"/>
        <v>0</v>
      </c>
    </row>
    <row r="89" spans="1:40" ht="15.75" thickBot="1" x14ac:dyDescent="0.3">
      <c r="A89" s="73" t="s">
        <v>100</v>
      </c>
      <c r="B89" s="94">
        <f t="shared" ref="B89:AG89" si="31">B50+B54+B72+B68+B84+B88</f>
        <v>2077.83</v>
      </c>
      <c r="C89" s="94">
        <f t="shared" si="31"/>
        <v>2051.23</v>
      </c>
      <c r="D89" s="94">
        <f t="shared" si="31"/>
        <v>2044.33</v>
      </c>
      <c r="E89" s="94">
        <f t="shared" si="31"/>
        <v>2035.73</v>
      </c>
      <c r="F89" s="94">
        <f t="shared" si="31"/>
        <v>2038.23</v>
      </c>
      <c r="G89" s="94">
        <f t="shared" si="31"/>
        <v>2024.2300000000002</v>
      </c>
      <c r="H89" s="94">
        <f t="shared" si="31"/>
        <v>2044.4300000000003</v>
      </c>
      <c r="I89" s="94">
        <f t="shared" si="31"/>
        <v>2049.63</v>
      </c>
      <c r="J89" s="94">
        <f t="shared" si="31"/>
        <v>1984.4300000000003</v>
      </c>
      <c r="K89" s="94">
        <f t="shared" si="31"/>
        <v>1998.2300000000002</v>
      </c>
      <c r="L89" s="94">
        <f t="shared" si="31"/>
        <v>2018.63</v>
      </c>
      <c r="M89" s="94">
        <f t="shared" si="31"/>
        <v>2026.9300000000003</v>
      </c>
      <c r="N89" s="94">
        <f t="shared" si="31"/>
        <v>1967.9300000000003</v>
      </c>
      <c r="O89" s="94">
        <f t="shared" si="31"/>
        <v>1947.9300000000003</v>
      </c>
      <c r="P89" s="94">
        <f t="shared" si="31"/>
        <v>1942.3300000000002</v>
      </c>
      <c r="Q89" s="94">
        <f t="shared" si="31"/>
        <v>1887.7300000000002</v>
      </c>
      <c r="R89" s="94">
        <f t="shared" si="31"/>
        <v>1843.7300000000002</v>
      </c>
      <c r="S89" s="94">
        <f t="shared" ref="S89:U89" si="32">S50+S54+S72+S68+S84+S88</f>
        <v>1849.3300000000002</v>
      </c>
      <c r="T89" s="94">
        <f t="shared" si="32"/>
        <v>1775.9300000000003</v>
      </c>
      <c r="U89" s="94">
        <f t="shared" si="32"/>
        <v>1750.7300000000002</v>
      </c>
      <c r="V89" s="94">
        <f t="shared" ref="V89:W89" si="33">V50+V54+V72+V68+V84+V88</f>
        <v>1751.7800000000002</v>
      </c>
      <c r="W89" s="94">
        <f t="shared" si="33"/>
        <v>1750.38</v>
      </c>
      <c r="X89" s="94">
        <f t="shared" ref="X89:Y89" si="34">X50+X54+X72+X68+X84+X88</f>
        <v>1851.5300000000002</v>
      </c>
      <c r="Y89" s="94">
        <f t="shared" si="34"/>
        <v>1906.5300000000002</v>
      </c>
      <c r="Z89" s="94">
        <f t="shared" ref="Z89:AA89" si="35">Z50+Z54+Z72+Z68+Z84+Z88</f>
        <v>1915.4299999999998</v>
      </c>
      <c r="AA89" s="94">
        <f t="shared" si="35"/>
        <v>1948.6299999999999</v>
      </c>
      <c r="AB89" s="94">
        <f t="shared" si="31"/>
        <v>1941.74</v>
      </c>
      <c r="AC89" s="94">
        <f t="shared" si="31"/>
        <v>2015.74</v>
      </c>
      <c r="AD89" s="94">
        <f t="shared" si="31"/>
        <v>2013.54</v>
      </c>
      <c r="AE89" s="94">
        <f t="shared" si="31"/>
        <v>1960.44</v>
      </c>
      <c r="AF89" s="94">
        <f t="shared" si="31"/>
        <v>1950.94</v>
      </c>
      <c r="AG89" s="61">
        <f t="shared" si="31"/>
        <v>2111.5500000000002</v>
      </c>
      <c r="AH89" s="47">
        <f t="shared" si="24"/>
        <v>2077.83</v>
      </c>
      <c r="AI89" s="48">
        <f t="shared" si="25"/>
        <v>1750.38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4"/>
        <v>0</v>
      </c>
      <c r="AI90" s="48">
        <f t="shared" si="25"/>
        <v>0</v>
      </c>
    </row>
    <row r="91" spans="1:40" ht="15.75" thickBot="1" x14ac:dyDescent="0.3">
      <c r="A91" s="73" t="s">
        <v>102</v>
      </c>
      <c r="B91" s="94">
        <f t="shared" ref="B91:AF91" si="36">B89+B90</f>
        <v>2077.83</v>
      </c>
      <c r="C91" s="94">
        <f t="shared" si="36"/>
        <v>2051.23</v>
      </c>
      <c r="D91" s="94">
        <f t="shared" si="36"/>
        <v>2044.33</v>
      </c>
      <c r="E91" s="94">
        <f t="shared" si="36"/>
        <v>2035.73</v>
      </c>
      <c r="F91" s="94">
        <f t="shared" si="36"/>
        <v>2038.23</v>
      </c>
      <c r="G91" s="94">
        <f t="shared" si="36"/>
        <v>2024.2300000000002</v>
      </c>
      <c r="H91" s="94">
        <f t="shared" si="36"/>
        <v>2044.4300000000003</v>
      </c>
      <c r="I91" s="94">
        <f t="shared" si="36"/>
        <v>2049.63</v>
      </c>
      <c r="J91" s="94">
        <f t="shared" si="36"/>
        <v>1984.4300000000003</v>
      </c>
      <c r="K91" s="94">
        <f t="shared" si="36"/>
        <v>1998.2300000000002</v>
      </c>
      <c r="L91" s="94">
        <f t="shared" si="36"/>
        <v>2018.63</v>
      </c>
      <c r="M91" s="94">
        <f t="shared" si="36"/>
        <v>2026.9300000000003</v>
      </c>
      <c r="N91" s="94">
        <f t="shared" si="36"/>
        <v>1967.9300000000003</v>
      </c>
      <c r="O91" s="94">
        <f t="shared" si="36"/>
        <v>1947.9300000000003</v>
      </c>
      <c r="P91" s="94">
        <f t="shared" si="36"/>
        <v>1942.3300000000002</v>
      </c>
      <c r="Q91" s="94">
        <f t="shared" si="36"/>
        <v>1887.7300000000002</v>
      </c>
      <c r="R91" s="94">
        <f t="shared" si="36"/>
        <v>1843.7300000000002</v>
      </c>
      <c r="S91" s="94">
        <f t="shared" ref="S91:U91" si="37">S89+S90</f>
        <v>1849.3300000000002</v>
      </c>
      <c r="T91" s="94">
        <f t="shared" si="37"/>
        <v>1775.9300000000003</v>
      </c>
      <c r="U91" s="94">
        <f t="shared" si="37"/>
        <v>1750.7300000000002</v>
      </c>
      <c r="V91" s="94">
        <f t="shared" ref="V91:W91" si="38">V89+V90</f>
        <v>1751.7800000000002</v>
      </c>
      <c r="W91" s="94">
        <f t="shared" si="38"/>
        <v>1750.38</v>
      </c>
      <c r="X91" s="94">
        <f t="shared" ref="X91:Y91" si="39">X89+X90</f>
        <v>1851.5300000000002</v>
      </c>
      <c r="Y91" s="94">
        <f t="shared" si="39"/>
        <v>1906.5300000000002</v>
      </c>
      <c r="Z91" s="94">
        <f t="shared" ref="Z91:AA91" si="40">Z89+Z90</f>
        <v>1915.4299999999998</v>
      </c>
      <c r="AA91" s="94">
        <f t="shared" si="40"/>
        <v>1948.6299999999999</v>
      </c>
      <c r="AB91" s="94">
        <f t="shared" si="36"/>
        <v>1941.74</v>
      </c>
      <c r="AC91" s="94">
        <f t="shared" si="36"/>
        <v>2015.74</v>
      </c>
      <c r="AD91" s="94">
        <f t="shared" si="36"/>
        <v>2013.54</v>
      </c>
      <c r="AE91" s="94">
        <f t="shared" si="36"/>
        <v>1960.44</v>
      </c>
      <c r="AF91" s="94">
        <f t="shared" si="36"/>
        <v>1950.94</v>
      </c>
      <c r="AG91" s="87">
        <f>AG88+AG84+AG72+AG68+AG50+AG90</f>
        <v>1573.45</v>
      </c>
      <c r="AH91" s="47">
        <f t="shared" si="24"/>
        <v>2077.83</v>
      </c>
      <c r="AI91" s="48">
        <f t="shared" si="25"/>
        <v>1750.38</v>
      </c>
    </row>
    <row r="92" spans="1:40" ht="15.75" thickBot="1" x14ac:dyDescent="0.3">
      <c r="A92" s="73" t="s">
        <v>103</v>
      </c>
      <c r="B92" s="94">
        <f>B91-(-B99)</f>
        <v>1728.83</v>
      </c>
      <c r="C92" s="94">
        <f t="shared" ref="C92:AF92" si="41">C91-(-C99)</f>
        <v>1668.23</v>
      </c>
      <c r="D92" s="94">
        <f t="shared" si="41"/>
        <v>1650.33</v>
      </c>
      <c r="E92" s="94">
        <f t="shared" si="41"/>
        <v>1631.33</v>
      </c>
      <c r="F92" s="94">
        <f t="shared" si="41"/>
        <v>1613.73</v>
      </c>
      <c r="G92" s="94">
        <f t="shared" si="41"/>
        <v>1584.0300000000002</v>
      </c>
      <c r="H92" s="94">
        <f t="shared" si="41"/>
        <v>1574.9300000000003</v>
      </c>
      <c r="I92" s="94">
        <f t="shared" si="41"/>
        <v>1532.93</v>
      </c>
      <c r="J92" s="94">
        <f t="shared" si="41"/>
        <v>1576.0300000000002</v>
      </c>
      <c r="K92" s="94">
        <f t="shared" si="41"/>
        <v>1572.2300000000002</v>
      </c>
      <c r="L92" s="94">
        <f t="shared" si="41"/>
        <v>1600.3300000000002</v>
      </c>
      <c r="M92" s="94">
        <f t="shared" si="41"/>
        <v>1569.9300000000003</v>
      </c>
      <c r="N92" s="94">
        <f t="shared" si="41"/>
        <v>1552.9300000000003</v>
      </c>
      <c r="O92" s="94">
        <f t="shared" si="41"/>
        <v>1462.9300000000003</v>
      </c>
      <c r="P92" s="94">
        <f t="shared" si="41"/>
        <v>1450.3300000000002</v>
      </c>
      <c r="Q92" s="94">
        <f t="shared" si="41"/>
        <v>1410.7300000000002</v>
      </c>
      <c r="R92" s="94">
        <f t="shared" si="41"/>
        <v>1362.7300000000002</v>
      </c>
      <c r="S92" s="94">
        <f t="shared" ref="S92:U92" si="42">S91-(-S99)</f>
        <v>1374.8300000000002</v>
      </c>
      <c r="T92" s="94">
        <f t="shared" si="42"/>
        <v>1301.4300000000003</v>
      </c>
      <c r="U92" s="94">
        <f t="shared" si="42"/>
        <v>1321.0300000000002</v>
      </c>
      <c r="V92" s="94">
        <f t="shared" ref="V92:W92" si="43">V91-(-V99)</f>
        <v>1320.6800000000003</v>
      </c>
      <c r="W92" s="94">
        <f t="shared" si="43"/>
        <v>1343.88</v>
      </c>
      <c r="X92" s="94">
        <f t="shared" ref="X92:Y92" si="44">X91-(-X99)</f>
        <v>1465.9300000000003</v>
      </c>
      <c r="Y92" s="94">
        <f t="shared" si="44"/>
        <v>1524.0300000000002</v>
      </c>
      <c r="Z92" s="94">
        <f t="shared" ref="Z92:AA92" si="45">Z91-(-Z99)</f>
        <v>1550.5299999999997</v>
      </c>
      <c r="AA92" s="94">
        <f t="shared" si="45"/>
        <v>1624.73</v>
      </c>
      <c r="AB92" s="94">
        <f t="shared" si="41"/>
        <v>1666.74</v>
      </c>
      <c r="AC92" s="94">
        <f t="shared" si="41"/>
        <v>1670.1399999999999</v>
      </c>
      <c r="AD92" s="94">
        <f t="shared" si="41"/>
        <v>1661.54</v>
      </c>
      <c r="AE92" s="94">
        <f t="shared" si="41"/>
        <v>1571.3400000000001</v>
      </c>
      <c r="AF92" s="94">
        <f t="shared" si="41"/>
        <v>1563.04</v>
      </c>
      <c r="AG92" s="87"/>
      <c r="AH92" s="47">
        <f t="shared" si="24"/>
        <v>1728.83</v>
      </c>
      <c r="AI92" s="48">
        <f t="shared" si="25"/>
        <v>1301.4300000000003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4"/>
        <v>0</v>
      </c>
      <c r="AI93" s="48">
        <f t="shared" si="25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4"/>
        <v>0</v>
      </c>
      <c r="AI94" s="48">
        <f t="shared" si="25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4"/>
        <v>0</v>
      </c>
      <c r="AI95" s="48">
        <f t="shared" si="25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4"/>
        <v>0</v>
      </c>
      <c r="AI96" s="48">
        <f t="shared" si="25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4"/>
        <v>0</v>
      </c>
      <c r="AI97" s="48">
        <f t="shared" si="25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4"/>
        <v>0</v>
      </c>
      <c r="AI98" s="48">
        <f t="shared" si="25"/>
        <v>0</v>
      </c>
    </row>
    <row r="99" spans="1:37" ht="15.75" thickBot="1" x14ac:dyDescent="0.3">
      <c r="A99" s="98" t="s">
        <v>107</v>
      </c>
      <c r="B99" s="60">
        <f>B75</f>
        <v>-349</v>
      </c>
      <c r="C99" s="60">
        <f t="shared" ref="C99:AF99" si="46">C75</f>
        <v>-383</v>
      </c>
      <c r="D99" s="60">
        <f t="shared" si="46"/>
        <v>-394</v>
      </c>
      <c r="E99" s="60">
        <f t="shared" si="46"/>
        <v>-404.4</v>
      </c>
      <c r="F99" s="60">
        <f t="shared" si="46"/>
        <v>-424.5</v>
      </c>
      <c r="G99" s="60">
        <f t="shared" si="46"/>
        <v>-440.2</v>
      </c>
      <c r="H99" s="60">
        <f t="shared" si="46"/>
        <v>-469.5</v>
      </c>
      <c r="I99" s="60">
        <f t="shared" si="46"/>
        <v>-516.70000000000005</v>
      </c>
      <c r="J99" s="60">
        <f t="shared" si="46"/>
        <v>-408.4</v>
      </c>
      <c r="K99" s="60">
        <f t="shared" si="46"/>
        <v>-426</v>
      </c>
      <c r="L99" s="60">
        <f t="shared" si="46"/>
        <v>-418.3</v>
      </c>
      <c r="M99" s="60">
        <f t="shared" si="46"/>
        <v>-457</v>
      </c>
      <c r="N99" s="60">
        <f t="shared" si="46"/>
        <v>-415</v>
      </c>
      <c r="O99" s="60">
        <f t="shared" si="46"/>
        <v>-485</v>
      </c>
      <c r="P99" s="60">
        <f t="shared" si="46"/>
        <v>-492</v>
      </c>
      <c r="Q99" s="60">
        <f t="shared" si="46"/>
        <v>-477</v>
      </c>
      <c r="R99" s="60">
        <f t="shared" si="46"/>
        <v>-481</v>
      </c>
      <c r="S99" s="60">
        <f t="shared" ref="S99:U99" si="47">S75</f>
        <v>-474.5</v>
      </c>
      <c r="T99" s="60">
        <f t="shared" si="47"/>
        <v>-474.5</v>
      </c>
      <c r="U99" s="60">
        <f t="shared" si="47"/>
        <v>-429.7</v>
      </c>
      <c r="V99" s="60">
        <f t="shared" ref="V99:W99" si="48">V75</f>
        <v>-431.1</v>
      </c>
      <c r="W99" s="60">
        <f t="shared" si="48"/>
        <v>-406.5</v>
      </c>
      <c r="X99" s="60">
        <f t="shared" ref="X99:Y99" si="49">X75</f>
        <v>-385.6</v>
      </c>
      <c r="Y99" s="60">
        <f t="shared" si="49"/>
        <v>-382.5</v>
      </c>
      <c r="Z99" s="60">
        <f t="shared" ref="Z99:AA99" si="50">Z75</f>
        <v>-364.9</v>
      </c>
      <c r="AA99" s="60">
        <f t="shared" si="50"/>
        <v>-323.89999999999998</v>
      </c>
      <c r="AB99" s="60">
        <f t="shared" si="46"/>
        <v>-275</v>
      </c>
      <c r="AC99" s="60">
        <f t="shared" si="46"/>
        <v>-345.6</v>
      </c>
      <c r="AD99" s="60">
        <f t="shared" si="46"/>
        <v>-352</v>
      </c>
      <c r="AE99" s="60">
        <f t="shared" si="46"/>
        <v>-389.1</v>
      </c>
      <c r="AF99" s="60">
        <f t="shared" si="46"/>
        <v>-387.9</v>
      </c>
      <c r="AG99" s="87"/>
      <c r="AH99" s="47">
        <f t="shared" si="24"/>
        <v>-275</v>
      </c>
      <c r="AI99" s="48">
        <f t="shared" si="25"/>
        <v>-516.70000000000005</v>
      </c>
      <c r="AK99" s="50"/>
    </row>
    <row r="100" spans="1:37" ht="15.75" thickBot="1" x14ac:dyDescent="0.3">
      <c r="A100" s="73" t="s">
        <v>108</v>
      </c>
      <c r="B100" s="60">
        <f t="shared" ref="B100:AF100" si="51">B84-B99</f>
        <v>349</v>
      </c>
      <c r="C100" s="60">
        <f t="shared" si="51"/>
        <v>383</v>
      </c>
      <c r="D100" s="60">
        <f t="shared" si="51"/>
        <v>394</v>
      </c>
      <c r="E100" s="60">
        <f t="shared" si="51"/>
        <v>404.4</v>
      </c>
      <c r="F100" s="60">
        <f t="shared" si="51"/>
        <v>424.5</v>
      </c>
      <c r="G100" s="60">
        <f t="shared" si="51"/>
        <v>440.2</v>
      </c>
      <c r="H100" s="60">
        <f t="shared" si="51"/>
        <v>469.5</v>
      </c>
      <c r="I100" s="60">
        <f t="shared" si="51"/>
        <v>516.70000000000005</v>
      </c>
      <c r="J100" s="60">
        <f t="shared" si="51"/>
        <v>408.4</v>
      </c>
      <c r="K100" s="60">
        <f t="shared" si="51"/>
        <v>426</v>
      </c>
      <c r="L100" s="60">
        <f t="shared" si="51"/>
        <v>418.3</v>
      </c>
      <c r="M100" s="60">
        <f t="shared" si="51"/>
        <v>457</v>
      </c>
      <c r="N100" s="60">
        <f t="shared" si="51"/>
        <v>415</v>
      </c>
      <c r="O100" s="60">
        <f t="shared" si="51"/>
        <v>485</v>
      </c>
      <c r="P100" s="60">
        <f t="shared" si="51"/>
        <v>492</v>
      </c>
      <c r="Q100" s="60">
        <f t="shared" si="51"/>
        <v>477</v>
      </c>
      <c r="R100" s="60">
        <f t="shared" si="51"/>
        <v>481</v>
      </c>
      <c r="S100" s="60">
        <f t="shared" ref="S100:U100" si="52">S84-S99</f>
        <v>474.5</v>
      </c>
      <c r="T100" s="60">
        <f t="shared" si="52"/>
        <v>474.5</v>
      </c>
      <c r="U100" s="60">
        <f t="shared" si="52"/>
        <v>429.7</v>
      </c>
      <c r="V100" s="60">
        <f t="shared" ref="V100:W100" si="53">V84-V99</f>
        <v>431.1</v>
      </c>
      <c r="W100" s="60">
        <f t="shared" si="53"/>
        <v>406.5</v>
      </c>
      <c r="X100" s="60">
        <f t="shared" ref="X100:Y100" si="54">X84-X99</f>
        <v>385.6</v>
      </c>
      <c r="Y100" s="60">
        <f t="shared" si="54"/>
        <v>382.5</v>
      </c>
      <c r="Z100" s="60">
        <f t="shared" ref="Z100:AA100" si="55">Z84-Z99</f>
        <v>364.9</v>
      </c>
      <c r="AA100" s="60">
        <f t="shared" si="55"/>
        <v>323.89999999999998</v>
      </c>
      <c r="AB100" s="60">
        <f t="shared" si="51"/>
        <v>275</v>
      </c>
      <c r="AC100" s="60">
        <f t="shared" si="51"/>
        <v>347.8</v>
      </c>
      <c r="AD100" s="60">
        <f t="shared" si="51"/>
        <v>352</v>
      </c>
      <c r="AE100" s="60">
        <f t="shared" si="51"/>
        <v>389.1</v>
      </c>
      <c r="AF100" s="60">
        <f t="shared" si="51"/>
        <v>387.9</v>
      </c>
      <c r="AG100" s="87"/>
      <c r="AH100" s="47">
        <f t="shared" si="24"/>
        <v>516.70000000000005</v>
      </c>
      <c r="AI100" s="48">
        <f t="shared" si="25"/>
        <v>275</v>
      </c>
    </row>
    <row r="101" spans="1:37" x14ac:dyDescent="0.25">
      <c r="A101" s="99" t="s">
        <v>109</v>
      </c>
      <c r="B101" s="100">
        <v>50.070999999999998</v>
      </c>
      <c r="C101" s="100">
        <v>49.993000000000002</v>
      </c>
      <c r="D101" s="100">
        <v>50.018000000000001</v>
      </c>
      <c r="E101" s="100">
        <v>49.930999999999997</v>
      </c>
      <c r="F101" s="100">
        <v>49.95</v>
      </c>
      <c r="G101" s="100">
        <v>49.843000000000004</v>
      </c>
      <c r="H101" s="100">
        <v>49.95</v>
      </c>
      <c r="I101" s="100">
        <v>49.973999999999997</v>
      </c>
      <c r="J101" s="100">
        <v>49.865000000000002</v>
      </c>
      <c r="K101" s="100">
        <v>49.917999999999999</v>
      </c>
      <c r="L101" s="100">
        <v>50.024000000000001</v>
      </c>
      <c r="M101" s="100">
        <v>49.997</v>
      </c>
      <c r="N101" s="100">
        <v>50.094000000000001</v>
      </c>
      <c r="O101" s="100">
        <v>50.01</v>
      </c>
      <c r="P101" s="100">
        <v>50.002000000000002</v>
      </c>
      <c r="Q101" s="100">
        <v>49.941000000000003</v>
      </c>
      <c r="R101" s="100">
        <v>49.941000000000003</v>
      </c>
      <c r="S101" s="100">
        <v>49.99</v>
      </c>
      <c r="T101" s="100">
        <v>49.99</v>
      </c>
      <c r="U101" s="100">
        <v>49.99</v>
      </c>
      <c r="V101" s="100">
        <v>49.95</v>
      </c>
      <c r="W101" s="100">
        <v>49.95</v>
      </c>
      <c r="X101" s="100">
        <v>49.89</v>
      </c>
      <c r="Y101" s="100">
        <v>49.89</v>
      </c>
      <c r="Z101" s="100">
        <v>50.08</v>
      </c>
      <c r="AA101" s="100">
        <v>50.081000000000003</v>
      </c>
      <c r="AB101" s="100">
        <v>50.045999999999999</v>
      </c>
      <c r="AC101" s="100">
        <v>50.061</v>
      </c>
      <c r="AD101" s="100">
        <v>50.006999999999998</v>
      </c>
      <c r="AE101" s="100">
        <v>50.021000000000001</v>
      </c>
      <c r="AF101" s="100">
        <v>50.003</v>
      </c>
      <c r="AG101" s="101"/>
      <c r="AH101" s="47">
        <f t="shared" si="24"/>
        <v>50.094000000000001</v>
      </c>
      <c r="AI101" s="48">
        <f t="shared" si="25"/>
        <v>49.843000000000004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4"/>
        <v>0</v>
      </c>
      <c r="AI102" s="48">
        <f t="shared" si="25"/>
        <v>0</v>
      </c>
    </row>
    <row r="103" spans="1:37" x14ac:dyDescent="0.25">
      <c r="A103" s="102" t="s">
        <v>111</v>
      </c>
      <c r="B103" s="64">
        <v>129.5</v>
      </c>
      <c r="C103" s="64">
        <v>128.69999999999999</v>
      </c>
      <c r="D103" s="64">
        <v>129.5</v>
      </c>
      <c r="E103" s="64">
        <v>130.1</v>
      </c>
      <c r="F103" s="64">
        <v>129.6</v>
      </c>
      <c r="G103" s="64">
        <v>130.5</v>
      </c>
      <c r="H103" s="64">
        <v>129.5</v>
      </c>
      <c r="I103" s="64">
        <v>130.4</v>
      </c>
      <c r="J103" s="64">
        <v>129</v>
      </c>
      <c r="K103" s="64">
        <v>129.4</v>
      </c>
      <c r="L103" s="64">
        <v>127.7</v>
      </c>
      <c r="M103" s="64">
        <v>128.19999999999999</v>
      </c>
      <c r="N103" s="64">
        <v>125.5</v>
      </c>
      <c r="O103" s="64">
        <v>127.1</v>
      </c>
      <c r="P103" s="64">
        <v>128.30000000000001</v>
      </c>
      <c r="Q103" s="64">
        <v>128.30000000000001</v>
      </c>
      <c r="R103" s="64">
        <v>128.30000000000001</v>
      </c>
      <c r="S103" s="64">
        <v>128.6</v>
      </c>
      <c r="T103" s="64">
        <v>128.6</v>
      </c>
      <c r="U103" s="64">
        <v>128.6</v>
      </c>
      <c r="V103" s="64">
        <v>128.69999999999999</v>
      </c>
      <c r="W103" s="64">
        <v>128.69999999999999</v>
      </c>
      <c r="X103" s="64">
        <v>126.3</v>
      </c>
      <c r="Y103" s="64">
        <v>128.19999999999999</v>
      </c>
      <c r="Z103" s="64">
        <v>129.19999999999999</v>
      </c>
      <c r="AA103" s="64">
        <v>129.19999999999999</v>
      </c>
      <c r="AB103" s="64">
        <v>130.19999999999999</v>
      </c>
      <c r="AC103" s="64">
        <v>129.1</v>
      </c>
      <c r="AD103" s="64">
        <v>129.1</v>
      </c>
      <c r="AE103" s="64">
        <v>129.80000000000001</v>
      </c>
      <c r="AF103" s="64">
        <v>129.80000000000001</v>
      </c>
      <c r="AG103" s="103"/>
      <c r="AH103" s="47">
        <f t="shared" si="24"/>
        <v>130.5</v>
      </c>
      <c r="AI103" s="48">
        <f t="shared" si="25"/>
        <v>125.5</v>
      </c>
    </row>
    <row r="104" spans="1:37" x14ac:dyDescent="0.25">
      <c r="A104" s="102" t="s">
        <v>112</v>
      </c>
      <c r="B104" s="64">
        <v>127.5</v>
      </c>
      <c r="C104" s="64">
        <v>127.5</v>
      </c>
      <c r="D104" s="64">
        <v>129</v>
      </c>
      <c r="E104" s="64">
        <v>128.30000000000001</v>
      </c>
      <c r="F104" s="64">
        <v>129.5</v>
      </c>
      <c r="G104" s="64">
        <v>128.19999999999999</v>
      </c>
      <c r="H104" s="64">
        <v>130.30000000000001</v>
      </c>
      <c r="I104" s="64">
        <v>131.19999999999999</v>
      </c>
      <c r="J104" s="64">
        <v>128.9</v>
      </c>
      <c r="K104" s="64">
        <v>130.1</v>
      </c>
      <c r="L104" s="64">
        <v>128.1</v>
      </c>
      <c r="M104" s="64">
        <v>129.30000000000001</v>
      </c>
      <c r="N104" s="64">
        <v>128.30000000000001</v>
      </c>
      <c r="O104" s="64">
        <v>131.9</v>
      </c>
      <c r="P104" s="64">
        <v>130.5</v>
      </c>
      <c r="Q104" s="64">
        <v>130.30000000000001</v>
      </c>
      <c r="R104" s="64">
        <v>130.30000000000001</v>
      </c>
      <c r="S104" s="64">
        <v>128.1</v>
      </c>
      <c r="T104" s="64">
        <v>128.1</v>
      </c>
      <c r="U104" s="64">
        <v>128.1</v>
      </c>
      <c r="V104" s="64">
        <v>129.5</v>
      </c>
      <c r="W104" s="64">
        <v>129.5</v>
      </c>
      <c r="X104" s="64">
        <v>127.1</v>
      </c>
      <c r="Y104" s="64">
        <v>126.7</v>
      </c>
      <c r="Z104" s="64">
        <v>128.30000000000001</v>
      </c>
      <c r="AA104" s="64">
        <v>127.1</v>
      </c>
      <c r="AB104" s="64">
        <v>127.8</v>
      </c>
      <c r="AC104" s="64">
        <v>127.8</v>
      </c>
      <c r="AD104" s="64">
        <v>127.8</v>
      </c>
      <c r="AE104" s="64">
        <v>127.2</v>
      </c>
      <c r="AF104" s="64">
        <v>127.5</v>
      </c>
      <c r="AG104" s="103"/>
      <c r="AH104" s="47">
        <f t="shared" si="24"/>
        <v>131.9</v>
      </c>
      <c r="AI104" s="48">
        <f t="shared" si="25"/>
        <v>126.7</v>
      </c>
    </row>
    <row r="105" spans="1:37" x14ac:dyDescent="0.25">
      <c r="A105" s="104" t="s">
        <v>113</v>
      </c>
      <c r="B105" s="64">
        <v>132.19999999999999</v>
      </c>
      <c r="C105" s="64">
        <v>132</v>
      </c>
      <c r="D105" s="64">
        <v>133.19999999999999</v>
      </c>
      <c r="E105" s="64">
        <v>133</v>
      </c>
      <c r="F105" s="64">
        <v>134.1</v>
      </c>
      <c r="G105" s="64">
        <v>132.4</v>
      </c>
      <c r="H105" s="64">
        <v>135.19999999999999</v>
      </c>
      <c r="I105" s="64">
        <v>134.19999999999999</v>
      </c>
      <c r="J105" s="64">
        <v>132.19999999999999</v>
      </c>
      <c r="K105" s="64">
        <v>131.9</v>
      </c>
      <c r="L105" s="64">
        <v>129.69999999999999</v>
      </c>
      <c r="M105" s="64">
        <v>130.9</v>
      </c>
      <c r="N105" s="64">
        <v>130.5</v>
      </c>
      <c r="O105" s="64">
        <v>134.6</v>
      </c>
      <c r="P105" s="64">
        <v>133.1</v>
      </c>
      <c r="Q105" s="64">
        <v>133.30000000000001</v>
      </c>
      <c r="R105" s="64">
        <v>133.30000000000001</v>
      </c>
      <c r="S105" s="64">
        <v>129.9</v>
      </c>
      <c r="T105" s="64">
        <v>129.9</v>
      </c>
      <c r="U105" s="64">
        <v>129.9</v>
      </c>
      <c r="V105" s="64">
        <v>132.6</v>
      </c>
      <c r="W105" s="64">
        <v>132.6</v>
      </c>
      <c r="X105" s="64">
        <v>129.6</v>
      </c>
      <c r="Y105" s="64">
        <v>129.19999999999999</v>
      </c>
      <c r="Z105" s="64">
        <v>130.6</v>
      </c>
      <c r="AA105" s="64">
        <v>130.19999999999999</v>
      </c>
      <c r="AB105" s="64">
        <v>130.6</v>
      </c>
      <c r="AC105" s="64">
        <v>130.9</v>
      </c>
      <c r="AD105" s="64">
        <v>130.9</v>
      </c>
      <c r="AE105" s="64">
        <v>131.4</v>
      </c>
      <c r="AF105" s="64">
        <v>132.1</v>
      </c>
      <c r="AG105" s="103"/>
      <c r="AH105" s="47">
        <f t="shared" si="24"/>
        <v>135.19999999999999</v>
      </c>
      <c r="AI105" s="48">
        <f t="shared" si="25"/>
        <v>129.19999999999999</v>
      </c>
    </row>
    <row r="106" spans="1:37" x14ac:dyDescent="0.25">
      <c r="A106" s="104" t="s">
        <v>114</v>
      </c>
      <c r="B106" s="105">
        <v>132.4</v>
      </c>
      <c r="C106" s="105">
        <v>129.4</v>
      </c>
      <c r="D106" s="105">
        <v>131.1</v>
      </c>
      <c r="E106" s="105">
        <v>133.19999999999999</v>
      </c>
      <c r="F106" s="105">
        <v>133.30000000000001</v>
      </c>
      <c r="G106" s="105">
        <v>134.69999999999999</v>
      </c>
      <c r="H106" s="105">
        <v>134.4</v>
      </c>
      <c r="I106" s="105">
        <v>134.9</v>
      </c>
      <c r="J106" s="105">
        <v>132.30000000000001</v>
      </c>
      <c r="K106" s="105">
        <v>131.80000000000001</v>
      </c>
      <c r="L106" s="105">
        <v>129.6</v>
      </c>
      <c r="M106" s="105">
        <v>133.5</v>
      </c>
      <c r="N106" s="105">
        <v>130.69999999999999</v>
      </c>
      <c r="O106" s="105">
        <v>133.5</v>
      </c>
      <c r="P106" s="105">
        <v>133.30000000000001</v>
      </c>
      <c r="Q106" s="105">
        <v>134.4</v>
      </c>
      <c r="R106" s="105">
        <v>134.4</v>
      </c>
      <c r="S106" s="105">
        <v>130.6</v>
      </c>
      <c r="T106" s="105">
        <v>130.6</v>
      </c>
      <c r="U106" s="105">
        <v>130.6</v>
      </c>
      <c r="V106" s="105">
        <v>130.9</v>
      </c>
      <c r="W106" s="105">
        <v>130.9</v>
      </c>
      <c r="X106" s="105">
        <v>131.1</v>
      </c>
      <c r="Y106" s="105">
        <v>132.5</v>
      </c>
      <c r="Z106" s="105">
        <v>130.69999999999999</v>
      </c>
      <c r="AA106" s="105">
        <v>132.5</v>
      </c>
      <c r="AB106" s="105">
        <v>131.69999999999999</v>
      </c>
      <c r="AC106" s="105">
        <v>130.5</v>
      </c>
      <c r="AD106" s="105">
        <v>130.5</v>
      </c>
      <c r="AE106" s="105">
        <v>132.69999999999999</v>
      </c>
      <c r="AF106" s="105">
        <v>131.69999999999999</v>
      </c>
      <c r="AG106" s="106"/>
      <c r="AH106" s="47">
        <f t="shared" si="24"/>
        <v>134.9</v>
      </c>
      <c r="AI106" s="48">
        <f t="shared" si="25"/>
        <v>129.4</v>
      </c>
    </row>
    <row r="107" spans="1:37" x14ac:dyDescent="0.25">
      <c r="A107" s="102" t="s">
        <v>115</v>
      </c>
      <c r="B107" s="64">
        <v>133.19999999999999</v>
      </c>
      <c r="C107" s="64">
        <v>130.5</v>
      </c>
      <c r="D107" s="64">
        <v>131</v>
      </c>
      <c r="E107" s="64">
        <v>135.19999999999999</v>
      </c>
      <c r="F107" s="64">
        <v>135.69999999999999</v>
      </c>
      <c r="G107" s="64">
        <v>138.1</v>
      </c>
      <c r="H107" s="64">
        <v>137.19999999999999</v>
      </c>
      <c r="I107" s="64">
        <v>138.5</v>
      </c>
      <c r="J107" s="64">
        <v>137.6</v>
      </c>
      <c r="K107" s="64">
        <v>135.5</v>
      </c>
      <c r="L107" s="64">
        <v>130.30000000000001</v>
      </c>
      <c r="M107" s="64">
        <v>128.9</v>
      </c>
      <c r="N107" s="64">
        <v>132.19999999999999</v>
      </c>
      <c r="O107" s="64">
        <v>128.19999999999999</v>
      </c>
      <c r="P107" s="64">
        <v>127.6</v>
      </c>
      <c r="Q107" s="64">
        <v>130.1</v>
      </c>
      <c r="R107" s="64">
        <v>130.1</v>
      </c>
      <c r="S107" s="64">
        <v>128.69999999999999</v>
      </c>
      <c r="T107" s="64">
        <v>128.69999999999999</v>
      </c>
      <c r="U107" s="64">
        <v>128.69999999999999</v>
      </c>
      <c r="V107" s="64">
        <v>129.1</v>
      </c>
      <c r="W107" s="64">
        <v>129.1</v>
      </c>
      <c r="X107" s="64">
        <v>128.19999999999999</v>
      </c>
      <c r="Y107" s="64">
        <v>130.5</v>
      </c>
      <c r="Z107" s="64">
        <v>125.5</v>
      </c>
      <c r="AA107" s="64">
        <v>130.6</v>
      </c>
      <c r="AB107" s="64">
        <v>133.4</v>
      </c>
      <c r="AC107" s="64">
        <v>133.5</v>
      </c>
      <c r="AD107" s="64">
        <v>133.5</v>
      </c>
      <c r="AE107" s="64">
        <v>133.80000000000001</v>
      </c>
      <c r="AF107" s="64">
        <v>128</v>
      </c>
      <c r="AG107" s="103"/>
      <c r="AH107" s="47">
        <f t="shared" si="24"/>
        <v>138.5</v>
      </c>
      <c r="AI107" s="48">
        <f t="shared" si="25"/>
        <v>125.5</v>
      </c>
    </row>
    <row r="108" spans="1:37" ht="15.75" thickBot="1" x14ac:dyDescent="0.3">
      <c r="A108" s="102" t="s">
        <v>116</v>
      </c>
      <c r="B108" s="91">
        <v>65.2</v>
      </c>
      <c r="C108" s="91">
        <v>65</v>
      </c>
      <c r="D108" s="91">
        <v>65.2</v>
      </c>
      <c r="E108" s="91">
        <v>65.400000000000006</v>
      </c>
      <c r="F108" s="91">
        <v>65.2</v>
      </c>
      <c r="G108" s="91">
        <v>65.599999999999994</v>
      </c>
      <c r="H108" s="91">
        <v>65.2</v>
      </c>
      <c r="I108" s="91">
        <v>65.400000000000006</v>
      </c>
      <c r="J108" s="91">
        <v>64.5</v>
      </c>
      <c r="K108" s="91">
        <v>64.900000000000006</v>
      </c>
      <c r="L108" s="91">
        <v>64</v>
      </c>
      <c r="M108" s="91">
        <v>64.099999999999994</v>
      </c>
      <c r="N108" s="91">
        <v>63</v>
      </c>
      <c r="O108" s="91">
        <v>63.7</v>
      </c>
      <c r="P108" s="91">
        <v>64.2</v>
      </c>
      <c r="Q108" s="91">
        <v>64.3</v>
      </c>
      <c r="R108" s="91">
        <v>64.3</v>
      </c>
      <c r="S108" s="91">
        <v>64.3</v>
      </c>
      <c r="T108" s="91">
        <v>64.3</v>
      </c>
      <c r="U108" s="91">
        <v>64.3</v>
      </c>
      <c r="V108" s="91">
        <v>64.7</v>
      </c>
      <c r="W108" s="91">
        <v>64.7</v>
      </c>
      <c r="X108" s="91">
        <v>63.8</v>
      </c>
      <c r="Y108" s="91">
        <v>64.900000000000006</v>
      </c>
      <c r="Z108" s="91">
        <v>64.900000000000006</v>
      </c>
      <c r="AA108" s="91">
        <v>65</v>
      </c>
      <c r="AB108" s="91">
        <v>65.7</v>
      </c>
      <c r="AC108" s="91">
        <v>65.2</v>
      </c>
      <c r="AD108" s="91">
        <v>65.2</v>
      </c>
      <c r="AE108" s="91">
        <v>65.3</v>
      </c>
      <c r="AF108" s="91">
        <v>65.5</v>
      </c>
      <c r="AG108" s="107"/>
      <c r="AH108" s="47">
        <f t="shared" si="24"/>
        <v>65.7</v>
      </c>
      <c r="AI108" s="48">
        <f t="shared" si="25"/>
        <v>63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4"/>
        <v>0</v>
      </c>
      <c r="AI109" s="48">
        <f t="shared" si="25"/>
        <v>0</v>
      </c>
    </row>
    <row r="110" spans="1:37" ht="15.75" thickBot="1" x14ac:dyDescent="0.3">
      <c r="A110" s="109" t="s">
        <v>118</v>
      </c>
      <c r="B110" s="110">
        <f t="shared" ref="B110:O110" si="56">SUM(B20,B26,B29:B30,B58,B60:B61,B63,B65,B111:B115,B138,B144,B150,B159,B161,B173,B180,B183:B184,B191,B193,B195,B199:B201,B203:B205,B210,B216:B217,B219:B221,B229,B234)</f>
        <v>31.600000000000023</v>
      </c>
      <c r="C110" s="110">
        <f t="shared" si="56"/>
        <v>30.840000000000007</v>
      </c>
      <c r="D110" s="110">
        <f t="shared" si="56"/>
        <v>22.340000000000007</v>
      </c>
      <c r="E110" s="110">
        <f t="shared" si="56"/>
        <v>27.540000000000017</v>
      </c>
      <c r="F110" s="110">
        <f t="shared" si="56"/>
        <v>27.940000000000012</v>
      </c>
      <c r="G110" s="110">
        <f t="shared" si="56"/>
        <v>39.640000000000015</v>
      </c>
      <c r="H110" s="110">
        <f t="shared" si="56"/>
        <v>60.839999999999989</v>
      </c>
      <c r="I110" s="110">
        <f t="shared" si="56"/>
        <v>70.240000000000023</v>
      </c>
      <c r="J110" s="110">
        <f t="shared" si="56"/>
        <v>89.839999999999989</v>
      </c>
      <c r="K110" s="110">
        <f t="shared" si="56"/>
        <v>120.84</v>
      </c>
      <c r="L110" s="110">
        <f t="shared" si="56"/>
        <v>137.84</v>
      </c>
      <c r="M110" s="110">
        <f t="shared" si="56"/>
        <v>139.54</v>
      </c>
      <c r="N110" s="110">
        <f t="shared" si="56"/>
        <v>161.84</v>
      </c>
      <c r="O110" s="110">
        <f t="shared" si="56"/>
        <v>138.13999999999999</v>
      </c>
      <c r="P110" s="110">
        <v>42</v>
      </c>
      <c r="Q110" s="110">
        <f t="shared" ref="Q110:AF110" si="57">SUM(Q20,Q26,Q29:Q30,Q58,Q60:Q61,Q63,Q65,Q111:Q115,Q138,Q144,Q150,Q159,Q161,Q173,Q180,Q183:Q184,Q191,Q193,Q195,Q199:Q201,Q203:Q205,Q210,Q216:Q217,Q219:Q221,Q229,Q234)</f>
        <v>105.69999999999999</v>
      </c>
      <c r="R110" s="110">
        <f t="shared" si="57"/>
        <v>105.69999999999999</v>
      </c>
      <c r="S110" s="110">
        <f t="shared" ref="S110:U110" si="58">SUM(S20,S26,S29:S30,S58,S60:S61,S63,S65,S111:S115,S138,S144,S150,S159,S161,S173,S180,S183:S184,S191,S193,S195,S199:S201,S203:S205,S210,S216:S217,S219:S221,S229,S234)</f>
        <v>101.99999999999997</v>
      </c>
      <c r="T110" s="110">
        <f t="shared" si="58"/>
        <v>100.6</v>
      </c>
      <c r="U110" s="110">
        <f t="shared" si="58"/>
        <v>98.399999999999977</v>
      </c>
      <c r="V110" s="110">
        <f t="shared" ref="V110:W110" si="59">SUM(V20,V26,V29:V30,V58,V60:V61,V63,V65,V111:V115,V138,V144,V150,V159,V161,V173,V180,V183:V184,V191,V193,V195,V199:V201,V203:V205,V210,V216:V217,V219:V221,V229,V234)</f>
        <v>120.29999999999997</v>
      </c>
      <c r="W110" s="110">
        <f t="shared" si="59"/>
        <v>128.4</v>
      </c>
      <c r="X110" s="110">
        <f t="shared" ref="X110:Y110" si="60">SUM(X20,X26,X29:X30,X58,X60:X61,X63,X65,X111:X115,X138,X144,X150,X159,X161,X173,X180,X183:X184,X191,X193,X195,X199:X201,X203:X205,X210,X216:X217,X219:X221,X229,X234)</f>
        <v>194.10000000000002</v>
      </c>
      <c r="Y110" s="110">
        <f t="shared" si="60"/>
        <v>157</v>
      </c>
      <c r="Z110" s="110">
        <f t="shared" ref="Z110:AA110" si="61">SUM(Z20,Z26,Z29:Z30,Z58,Z60:Z61,Z63,Z65,Z111:Z115,Z138,Z144,Z150,Z159,Z161,Z173,Z180,Z183:Z184,Z191,Z193,Z195,Z199:Z201,Z203:Z205,Z210,Z216:Z217,Z219:Z221,Z229,Z234)</f>
        <v>178.20000000000002</v>
      </c>
      <c r="AA110" s="110">
        <f t="shared" si="61"/>
        <v>218.59999999999997</v>
      </c>
      <c r="AB110" s="110">
        <f t="shared" si="57"/>
        <v>168.5</v>
      </c>
      <c r="AC110" s="110">
        <f t="shared" si="57"/>
        <v>151.9</v>
      </c>
      <c r="AD110" s="110"/>
      <c r="AE110" s="110">
        <f t="shared" si="57"/>
        <v>77.099999999999994</v>
      </c>
      <c r="AF110" s="110">
        <f t="shared" si="57"/>
        <v>47.400000000000006</v>
      </c>
      <c r="AG110" s="111"/>
      <c r="AH110" s="47">
        <f t="shared" si="24"/>
        <v>218.59999999999997</v>
      </c>
      <c r="AI110" s="48">
        <f t="shared" si="25"/>
        <v>22.340000000000007</v>
      </c>
    </row>
    <row r="111" spans="1:37" x14ac:dyDescent="0.25">
      <c r="A111" s="99" t="s">
        <v>119</v>
      </c>
      <c r="B111" s="112">
        <v>11.3</v>
      </c>
      <c r="C111" s="112">
        <v>10</v>
      </c>
      <c r="D111" s="112">
        <v>6.2</v>
      </c>
      <c r="E111" s="112">
        <v>6.3</v>
      </c>
      <c r="F111" s="112">
        <v>8.1999999999999993</v>
      </c>
      <c r="G111" s="112">
        <v>11.3</v>
      </c>
      <c r="H111" s="112">
        <v>19.5</v>
      </c>
      <c r="I111" s="112">
        <v>23.9</v>
      </c>
      <c r="J111" s="112">
        <v>12.4</v>
      </c>
      <c r="K111" s="112">
        <v>18.2</v>
      </c>
      <c r="L111" s="112">
        <v>20.6</v>
      </c>
      <c r="M111" s="112">
        <v>23.8</v>
      </c>
      <c r="N111" s="112">
        <v>29.9</v>
      </c>
      <c r="O111" s="112">
        <v>38</v>
      </c>
      <c r="P111" s="112">
        <v>35.299999999999997</v>
      </c>
      <c r="Q111" s="112">
        <v>28.6</v>
      </c>
      <c r="R111" s="112">
        <v>28.6</v>
      </c>
      <c r="S111" s="112">
        <v>24.6</v>
      </c>
      <c r="T111" s="112">
        <v>24.6</v>
      </c>
      <c r="U111" s="112">
        <v>24.6</v>
      </c>
      <c r="V111" s="112">
        <v>30.2</v>
      </c>
      <c r="W111" s="112">
        <v>34.299999999999997</v>
      </c>
      <c r="X111" s="112">
        <v>49.3</v>
      </c>
      <c r="Y111" s="112">
        <v>4.8</v>
      </c>
      <c r="Z111" s="112">
        <v>42.5</v>
      </c>
      <c r="AA111" s="112">
        <v>34.799999999999997</v>
      </c>
      <c r="AB111" s="112">
        <v>25.6</v>
      </c>
      <c r="AC111" s="112">
        <v>37.700000000000003</v>
      </c>
      <c r="AD111" s="112">
        <v>37.700000000000003</v>
      </c>
      <c r="AE111" s="112">
        <v>28.5</v>
      </c>
      <c r="AF111" s="112">
        <v>15.6</v>
      </c>
      <c r="AG111" s="113">
        <v>75</v>
      </c>
      <c r="AH111" s="47">
        <f t="shared" si="24"/>
        <v>49.3</v>
      </c>
      <c r="AI111" s="48">
        <f t="shared" si="25"/>
        <v>4.8</v>
      </c>
    </row>
    <row r="112" spans="1:37" x14ac:dyDescent="0.25">
      <c r="A112" s="102" t="s">
        <v>120</v>
      </c>
      <c r="B112" s="114">
        <v>18.399999999999999</v>
      </c>
      <c r="C112" s="114">
        <v>18</v>
      </c>
      <c r="D112" s="114">
        <v>11.3</v>
      </c>
      <c r="E112" s="114">
        <v>12.1</v>
      </c>
      <c r="F112" s="114">
        <v>14.9</v>
      </c>
      <c r="G112" s="114">
        <v>18.8</v>
      </c>
      <c r="H112" s="114">
        <v>26.2</v>
      </c>
      <c r="I112" s="114">
        <v>33.299999999999997</v>
      </c>
      <c r="J112" s="114">
        <v>14.4</v>
      </c>
      <c r="K112" s="114">
        <v>21.4</v>
      </c>
      <c r="L112" s="114">
        <v>23.6</v>
      </c>
      <c r="M112" s="114">
        <v>30.1</v>
      </c>
      <c r="N112" s="114">
        <v>36.9</v>
      </c>
      <c r="O112" s="114">
        <v>48.2</v>
      </c>
      <c r="P112" s="114">
        <v>45.3</v>
      </c>
      <c r="Q112" s="114">
        <v>35.6</v>
      </c>
      <c r="R112" s="114">
        <v>35.6</v>
      </c>
      <c r="S112" s="114">
        <v>30.2</v>
      </c>
      <c r="T112" s="114">
        <v>30.2</v>
      </c>
      <c r="U112" s="114">
        <v>30.2</v>
      </c>
      <c r="V112" s="114">
        <v>37.799999999999997</v>
      </c>
      <c r="W112" s="114">
        <v>44.9</v>
      </c>
      <c r="X112" s="114">
        <v>65.3</v>
      </c>
      <c r="Y112" s="114">
        <v>63.1</v>
      </c>
      <c r="Z112" s="114">
        <v>56.3</v>
      </c>
      <c r="AA112" s="114">
        <v>46.7</v>
      </c>
      <c r="AB112" s="114">
        <v>31.8</v>
      </c>
      <c r="AC112" s="114">
        <v>50.5</v>
      </c>
      <c r="AD112" s="114">
        <v>50.5</v>
      </c>
      <c r="AE112" s="114">
        <v>36.6</v>
      </c>
      <c r="AF112" s="114">
        <v>22.4</v>
      </c>
      <c r="AG112" s="113">
        <v>240</v>
      </c>
      <c r="AH112" s="47">
        <f t="shared" si="24"/>
        <v>65.3</v>
      </c>
      <c r="AI112" s="48">
        <f t="shared" si="25"/>
        <v>11.3</v>
      </c>
    </row>
    <row r="113" spans="1:37" x14ac:dyDescent="0.25">
      <c r="A113" s="102" t="s">
        <v>121</v>
      </c>
      <c r="B113" s="114">
        <v>-148</v>
      </c>
      <c r="C113" s="114">
        <v>-147</v>
      </c>
      <c r="D113" s="114">
        <v>-145</v>
      </c>
      <c r="E113" s="114">
        <f>-68.8-72.3</f>
        <v>-141.1</v>
      </c>
      <c r="F113" s="114">
        <f>-72.9-75.8</f>
        <v>-148.69999999999999</v>
      </c>
      <c r="G113" s="114">
        <f>-66.4-69.9</f>
        <v>-136.30000000000001</v>
      </c>
      <c r="H113" s="114">
        <f>-65.5-70.2</f>
        <v>-135.69999999999999</v>
      </c>
      <c r="I113" s="114">
        <f>-67.8-71.3</f>
        <v>-139.1</v>
      </c>
      <c r="J113" s="114">
        <f>-38.8-43.7</f>
        <v>-82.5</v>
      </c>
      <c r="K113" s="114">
        <f>-33.3-35.4</f>
        <v>-68.699999999999989</v>
      </c>
      <c r="L113" s="114">
        <f>-31.9-34.3</f>
        <v>-66.199999999999989</v>
      </c>
      <c r="M113" s="114">
        <v>-66</v>
      </c>
      <c r="N113" s="114">
        <v>-19</v>
      </c>
      <c r="O113" s="114">
        <v>-45</v>
      </c>
      <c r="P113" s="114">
        <v>-58</v>
      </c>
      <c r="Q113" s="114">
        <v>-55</v>
      </c>
      <c r="R113" s="114">
        <v>-55</v>
      </c>
      <c r="S113" s="114">
        <v>-54.9</v>
      </c>
      <c r="T113" s="114">
        <v>-54.9</v>
      </c>
      <c r="U113" s="114">
        <v>-54.9</v>
      </c>
      <c r="V113" s="114">
        <v>-46.9</v>
      </c>
      <c r="W113" s="114">
        <v>-46</v>
      </c>
      <c r="X113" s="114">
        <v>-29</v>
      </c>
      <c r="Y113" s="114">
        <v>-37.5</v>
      </c>
      <c r="Z113" s="114">
        <v>-49.6</v>
      </c>
      <c r="AA113" s="114">
        <v>-54</v>
      </c>
      <c r="AB113" s="114">
        <v>-58</v>
      </c>
      <c r="AC113" s="114">
        <v>-109</v>
      </c>
      <c r="AD113" s="114">
        <v>-109</v>
      </c>
      <c r="AE113" s="114">
        <v>-128</v>
      </c>
      <c r="AF113" s="114">
        <v>-125</v>
      </c>
      <c r="AG113" s="113">
        <v>240</v>
      </c>
      <c r="AH113" s="47">
        <f t="shared" si="24"/>
        <v>-19</v>
      </c>
      <c r="AI113" s="48">
        <f t="shared" si="25"/>
        <v>-148.69999999999999</v>
      </c>
    </row>
    <row r="114" spans="1:37" x14ac:dyDescent="0.25">
      <c r="A114" s="102" t="s">
        <v>122</v>
      </c>
      <c r="B114" s="114">
        <v>-12</v>
      </c>
      <c r="C114" s="114">
        <v>-13</v>
      </c>
      <c r="D114" s="114">
        <v>-13</v>
      </c>
      <c r="E114" s="114">
        <v>-12.6</v>
      </c>
      <c r="F114" s="114">
        <v>-9.8000000000000007</v>
      </c>
      <c r="G114" s="114">
        <v>-8.5</v>
      </c>
      <c r="H114" s="114">
        <v>-8.1999999999999993</v>
      </c>
      <c r="I114" s="114">
        <v>-7.2</v>
      </c>
      <c r="J114" s="114">
        <v>2.2999999999999998</v>
      </c>
      <c r="K114" s="114">
        <v>5.9</v>
      </c>
      <c r="L114" s="114">
        <v>7.5</v>
      </c>
      <c r="M114" s="114">
        <v>8.6999999999999993</v>
      </c>
      <c r="N114" s="114">
        <v>12.1</v>
      </c>
      <c r="O114" s="114">
        <v>-5</v>
      </c>
      <c r="P114" s="114">
        <v>-4.5</v>
      </c>
      <c r="Q114" s="114">
        <v>-4.5</v>
      </c>
      <c r="R114" s="114">
        <v>-4.5</v>
      </c>
      <c r="S114" s="114">
        <v>-4.5</v>
      </c>
      <c r="T114" s="114">
        <v>-4.5</v>
      </c>
      <c r="U114" s="114">
        <v>-4.5</v>
      </c>
      <c r="V114" s="114">
        <v>-3.2</v>
      </c>
      <c r="W114" s="114">
        <v>-5.8</v>
      </c>
      <c r="X114" s="114">
        <v>7.5</v>
      </c>
      <c r="Y114" s="114">
        <v>10.6</v>
      </c>
      <c r="Z114" s="114">
        <v>12.3</v>
      </c>
      <c r="AA114" s="114">
        <v>13</v>
      </c>
      <c r="AB114" s="114">
        <v>10.3</v>
      </c>
      <c r="AC114" s="114">
        <v>3.9</v>
      </c>
      <c r="AD114" s="114">
        <v>3.9</v>
      </c>
      <c r="AE114" s="114">
        <v>-2.9</v>
      </c>
      <c r="AF114" s="114">
        <v>-4</v>
      </c>
      <c r="AG114" s="113">
        <v>60</v>
      </c>
      <c r="AH114" s="47">
        <f t="shared" si="24"/>
        <v>13</v>
      </c>
      <c r="AI114" s="48">
        <f t="shared" si="25"/>
        <v>-13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24"/>
        <v>0</v>
      </c>
      <c r="AI115" s="48">
        <f t="shared" si="25"/>
        <v>0</v>
      </c>
    </row>
    <row r="116" spans="1:37" x14ac:dyDescent="0.25">
      <c r="A116" s="115" t="s">
        <v>124</v>
      </c>
      <c r="B116" s="116">
        <v>47</v>
      </c>
      <c r="C116" s="116">
        <v>53</v>
      </c>
      <c r="D116" s="116">
        <v>42</v>
      </c>
      <c r="E116" s="116">
        <v>49.9</v>
      </c>
      <c r="F116" s="116">
        <v>48.8</v>
      </c>
      <c r="G116" s="116">
        <v>39.200000000000003</v>
      </c>
      <c r="H116" s="116">
        <v>48.9</v>
      </c>
      <c r="I116" s="116">
        <v>21.7</v>
      </c>
      <c r="J116" s="116">
        <v>77.3</v>
      </c>
      <c r="K116" s="116">
        <v>79.8</v>
      </c>
      <c r="L116" s="116">
        <v>79</v>
      </c>
      <c r="M116" s="116">
        <v>64.5</v>
      </c>
      <c r="N116" s="116">
        <v>81.5</v>
      </c>
      <c r="O116" s="116">
        <v>60.5</v>
      </c>
      <c r="P116" s="116">
        <v>54.3</v>
      </c>
      <c r="Q116" s="116">
        <v>67.2</v>
      </c>
      <c r="R116" s="116">
        <v>67.2</v>
      </c>
      <c r="S116" s="116">
        <v>42</v>
      </c>
      <c r="T116" s="116">
        <v>42</v>
      </c>
      <c r="U116" s="116">
        <v>42</v>
      </c>
      <c r="V116" s="116">
        <v>38.700000000000003</v>
      </c>
      <c r="W116" s="116">
        <v>38.700000000000003</v>
      </c>
      <c r="X116" s="116">
        <v>50.6</v>
      </c>
      <c r="Y116" s="116">
        <v>25.2</v>
      </c>
      <c r="Z116" s="116">
        <v>32.1</v>
      </c>
      <c r="AA116" s="116">
        <v>52.6</v>
      </c>
      <c r="AB116" s="116">
        <v>67.099999999999994</v>
      </c>
      <c r="AC116" s="116">
        <v>20.399999999999999</v>
      </c>
      <c r="AD116" s="116">
        <v>20.399999999999999</v>
      </c>
      <c r="AE116" s="116">
        <v>22.5</v>
      </c>
      <c r="AF116" s="116">
        <v>42.1</v>
      </c>
      <c r="AG116" s="117"/>
      <c r="AH116" s="47">
        <f t="shared" si="24"/>
        <v>81.5</v>
      </c>
      <c r="AI116" s="48">
        <f t="shared" si="25"/>
        <v>20.399999999999999</v>
      </c>
    </row>
    <row r="117" spans="1:37" x14ac:dyDescent="0.25">
      <c r="A117" s="115" t="s">
        <v>125</v>
      </c>
      <c r="B117" s="116">
        <v>0</v>
      </c>
      <c r="C117" s="116">
        <v>4</v>
      </c>
      <c r="D117" s="116">
        <v>10</v>
      </c>
      <c r="E117" s="116">
        <v>9.6</v>
      </c>
      <c r="F117" s="116">
        <v>3.5</v>
      </c>
      <c r="G117" s="116">
        <v>-4.2</v>
      </c>
      <c r="H117" s="116">
        <v>0</v>
      </c>
      <c r="I117" s="116">
        <v>-10.7</v>
      </c>
      <c r="J117" s="116">
        <v>6.4</v>
      </c>
      <c r="K117" s="116">
        <v>0</v>
      </c>
      <c r="L117" s="116">
        <v>-5.4</v>
      </c>
      <c r="M117" s="116">
        <v>-9.5</v>
      </c>
      <c r="N117" s="116">
        <v>-18.3</v>
      </c>
      <c r="O117" s="116">
        <v>-43.1</v>
      </c>
      <c r="P117" s="116">
        <v>-33.5</v>
      </c>
      <c r="Q117" s="116">
        <v>-16.2</v>
      </c>
      <c r="R117" s="116">
        <v>-16.2</v>
      </c>
      <c r="S117" s="116">
        <v>-19.7</v>
      </c>
      <c r="T117" s="116">
        <v>-19.7</v>
      </c>
      <c r="U117" s="116">
        <v>-19.7</v>
      </c>
      <c r="V117" s="116">
        <v>-29.3</v>
      </c>
      <c r="W117" s="116">
        <v>-20.5</v>
      </c>
      <c r="X117" s="116">
        <v>-43.5</v>
      </c>
      <c r="Y117" s="116">
        <v>-42.4</v>
      </c>
      <c r="Z117" s="116">
        <v>-19.600000000000001</v>
      </c>
      <c r="AA117" s="116">
        <v>-16.7</v>
      </c>
      <c r="AB117" s="116">
        <v>-10.5</v>
      </c>
      <c r="AC117" s="116">
        <v>-38.4</v>
      </c>
      <c r="AD117" s="116">
        <v>-38.4</v>
      </c>
      <c r="AE117" s="116">
        <v>-39.6</v>
      </c>
      <c r="AF117" s="116">
        <v>-4.9000000000000004</v>
      </c>
      <c r="AG117" s="118"/>
      <c r="AH117" s="47">
        <f t="shared" si="24"/>
        <v>10</v>
      </c>
      <c r="AI117" s="48">
        <f t="shared" si="25"/>
        <v>-43.5</v>
      </c>
    </row>
    <row r="118" spans="1:37" x14ac:dyDescent="0.25">
      <c r="A118" s="119" t="s">
        <v>126</v>
      </c>
      <c r="B118" s="105">
        <v>45</v>
      </c>
      <c r="C118" s="105">
        <v>52</v>
      </c>
      <c r="D118" s="105">
        <v>56</v>
      </c>
      <c r="E118" s="105">
        <v>57.5</v>
      </c>
      <c r="F118" s="105">
        <v>60</v>
      </c>
      <c r="G118" s="105">
        <v>37.200000000000003</v>
      </c>
      <c r="H118" s="105">
        <v>61.9</v>
      </c>
      <c r="I118" s="105">
        <v>65.8</v>
      </c>
      <c r="J118" s="105">
        <v>67.099999999999994</v>
      </c>
      <c r="K118" s="105">
        <v>63.9</v>
      </c>
      <c r="L118" s="105">
        <v>60.9</v>
      </c>
      <c r="M118" s="105">
        <v>61.7</v>
      </c>
      <c r="N118" s="105">
        <v>61.3</v>
      </c>
      <c r="O118" s="105">
        <v>52.3</v>
      </c>
      <c r="P118" s="105">
        <v>50.6</v>
      </c>
      <c r="Q118" s="105">
        <v>51.2</v>
      </c>
      <c r="R118" s="105">
        <v>51.2</v>
      </c>
      <c r="S118" s="105">
        <v>50.1</v>
      </c>
      <c r="T118" s="105">
        <v>50.1</v>
      </c>
      <c r="U118" s="105">
        <v>50.1</v>
      </c>
      <c r="V118" s="105">
        <v>50.7</v>
      </c>
      <c r="W118" s="105">
        <v>48.9</v>
      </c>
      <c r="X118" s="105">
        <v>39</v>
      </c>
      <c r="Y118" s="105">
        <v>34.5</v>
      </c>
      <c r="Z118" s="105">
        <v>33.299999999999997</v>
      </c>
      <c r="AA118" s="105">
        <v>34.799999999999997</v>
      </c>
      <c r="AB118" s="105">
        <v>36</v>
      </c>
      <c r="AC118" s="105">
        <v>37.1</v>
      </c>
      <c r="AD118" s="105">
        <v>37.1</v>
      </c>
      <c r="AE118" s="105">
        <v>44.7</v>
      </c>
      <c r="AF118" s="105">
        <v>48.3</v>
      </c>
      <c r="AG118" s="118"/>
      <c r="AH118" s="47">
        <f t="shared" si="24"/>
        <v>67.099999999999994</v>
      </c>
      <c r="AI118" s="48">
        <f t="shared" si="25"/>
        <v>33.299999999999997</v>
      </c>
    </row>
    <row r="119" spans="1:37" x14ac:dyDescent="0.25">
      <c r="A119" s="120" t="s">
        <v>127</v>
      </c>
      <c r="B119" s="105">
        <v>85</v>
      </c>
      <c r="C119" s="105">
        <v>92</v>
      </c>
      <c r="D119" s="105">
        <v>86</v>
      </c>
      <c r="E119" s="105">
        <v>88.8</v>
      </c>
      <c r="F119" s="105">
        <v>94.7</v>
      </c>
      <c r="G119" s="105">
        <v>92.7</v>
      </c>
      <c r="H119" s="105">
        <v>90</v>
      </c>
      <c r="I119" s="105">
        <v>97.3</v>
      </c>
      <c r="J119" s="105">
        <v>93.9</v>
      </c>
      <c r="K119" s="105">
        <v>82.9</v>
      </c>
      <c r="L119" s="105">
        <v>71.7</v>
      </c>
      <c r="M119" s="105">
        <v>85</v>
      </c>
      <c r="N119" s="105">
        <v>27.9</v>
      </c>
      <c r="O119" s="105">
        <v>86</v>
      </c>
      <c r="P119" s="105">
        <v>86.6</v>
      </c>
      <c r="Q119" s="105">
        <v>60.8</v>
      </c>
      <c r="R119" s="105">
        <v>60.8</v>
      </c>
      <c r="S119" s="105">
        <v>66.900000000000006</v>
      </c>
      <c r="T119" s="105">
        <v>66.900000000000006</v>
      </c>
      <c r="U119" s="105">
        <v>66.900000000000006</v>
      </c>
      <c r="V119" s="105">
        <v>70.400000000000006</v>
      </c>
      <c r="W119" s="105">
        <v>64.2</v>
      </c>
      <c r="X119" s="105">
        <v>71.7</v>
      </c>
      <c r="Y119" s="105">
        <v>79.599999999999994</v>
      </c>
      <c r="Z119" s="105">
        <v>72.2</v>
      </c>
      <c r="AA119" s="105">
        <v>74</v>
      </c>
      <c r="AB119" s="105">
        <v>89.6</v>
      </c>
      <c r="AC119" s="105">
        <v>83.8</v>
      </c>
      <c r="AD119" s="105">
        <v>83.8</v>
      </c>
      <c r="AE119" s="105">
        <v>93.8</v>
      </c>
      <c r="AF119" s="105">
        <v>84.1</v>
      </c>
      <c r="AG119" s="118"/>
      <c r="AH119" s="47">
        <f t="shared" si="24"/>
        <v>97.3</v>
      </c>
      <c r="AI119" s="48">
        <f t="shared" si="25"/>
        <v>27.9</v>
      </c>
    </row>
    <row r="120" spans="1:37" ht="15.75" thickBot="1" x14ac:dyDescent="0.3">
      <c r="A120" s="119" t="s">
        <v>128</v>
      </c>
      <c r="B120" s="105">
        <v>22</v>
      </c>
      <c r="C120" s="105">
        <v>12</v>
      </c>
      <c r="D120" s="105">
        <v>6</v>
      </c>
      <c r="E120" s="105">
        <v>-2.2000000000000002</v>
      </c>
      <c r="F120" s="105">
        <v>-14.6</v>
      </c>
      <c r="G120" s="105">
        <v>-9.1</v>
      </c>
      <c r="H120" s="105">
        <v>-23.3</v>
      </c>
      <c r="I120" s="105">
        <v>-27.8</v>
      </c>
      <c r="J120" s="105">
        <v>-22</v>
      </c>
      <c r="K120" s="105">
        <v>-21.4</v>
      </c>
      <c r="L120" s="105">
        <v>24.6</v>
      </c>
      <c r="M120" s="105">
        <v>-25.4</v>
      </c>
      <c r="N120" s="105">
        <v>-28.5</v>
      </c>
      <c r="O120" s="105">
        <v>-39</v>
      </c>
      <c r="P120" s="105">
        <v>-36.6</v>
      </c>
      <c r="Q120" s="105">
        <v>-38.6</v>
      </c>
      <c r="R120" s="105">
        <v>-38.6</v>
      </c>
      <c r="S120" s="105">
        <v>-25.5</v>
      </c>
      <c r="T120" s="105">
        <v>-25.5</v>
      </c>
      <c r="U120" s="105">
        <v>-25.5</v>
      </c>
      <c r="V120" s="105">
        <v>-26.4</v>
      </c>
      <c r="W120" s="105">
        <v>-19</v>
      </c>
      <c r="X120" s="105">
        <v>0.6</v>
      </c>
      <c r="Y120" s="105">
        <v>0.5</v>
      </c>
      <c r="Z120" s="105">
        <v>10.9</v>
      </c>
      <c r="AA120" s="105">
        <v>8.1</v>
      </c>
      <c r="AB120" s="105">
        <v>17.100000000000001</v>
      </c>
      <c r="AC120" s="105">
        <v>19.899999999999999</v>
      </c>
      <c r="AD120" s="105">
        <v>19.899999999999999</v>
      </c>
      <c r="AE120" s="105">
        <v>16.899999999999999</v>
      </c>
      <c r="AF120" s="105">
        <v>3.7</v>
      </c>
      <c r="AG120" s="118"/>
      <c r="AH120" s="47">
        <f t="shared" si="24"/>
        <v>24.6</v>
      </c>
      <c r="AI120" s="48">
        <f t="shared" si="25"/>
        <v>-39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62">SUM(B122:B226)</f>
        <v>0</v>
      </c>
      <c r="C227" s="136">
        <f t="shared" si="62"/>
        <v>0</v>
      </c>
      <c r="D227" s="136">
        <f t="shared" si="62"/>
        <v>0</v>
      </c>
      <c r="E227" s="136">
        <f t="shared" si="62"/>
        <v>0</v>
      </c>
      <c r="F227" s="136">
        <f t="shared" si="62"/>
        <v>0</v>
      </c>
      <c r="G227" s="136">
        <f t="shared" si="62"/>
        <v>0</v>
      </c>
      <c r="H227" s="136">
        <f t="shared" si="62"/>
        <v>0</v>
      </c>
      <c r="I227" s="136">
        <f t="shared" si="62"/>
        <v>0</v>
      </c>
      <c r="J227" s="136">
        <f t="shared" si="62"/>
        <v>0</v>
      </c>
      <c r="K227" s="136">
        <f t="shared" si="62"/>
        <v>0</v>
      </c>
      <c r="L227" s="136">
        <f t="shared" si="62"/>
        <v>0</v>
      </c>
      <c r="M227" s="136">
        <f t="shared" si="62"/>
        <v>0</v>
      </c>
      <c r="N227" s="136">
        <f t="shared" si="62"/>
        <v>0</v>
      </c>
      <c r="O227" s="136">
        <f t="shared" si="62"/>
        <v>0</v>
      </c>
      <c r="P227" s="136">
        <f t="shared" si="62"/>
        <v>0</v>
      </c>
      <c r="Q227" s="136">
        <f t="shared" si="62"/>
        <v>0</v>
      </c>
      <c r="R227" s="136">
        <f t="shared" si="62"/>
        <v>0</v>
      </c>
      <c r="S227" s="136">
        <f t="shared" si="62"/>
        <v>0</v>
      </c>
      <c r="T227" s="136">
        <f t="shared" si="62"/>
        <v>0</v>
      </c>
      <c r="U227" s="136">
        <f t="shared" si="62"/>
        <v>0</v>
      </c>
      <c r="V227" s="136">
        <f t="shared" si="62"/>
        <v>0</v>
      </c>
      <c r="W227" s="136">
        <f t="shared" si="62"/>
        <v>0</v>
      </c>
      <c r="X227" s="136">
        <f t="shared" si="62"/>
        <v>0</v>
      </c>
      <c r="Y227" s="136">
        <f t="shared" si="62"/>
        <v>0</v>
      </c>
      <c r="Z227" s="136">
        <f t="shared" si="62"/>
        <v>0</v>
      </c>
      <c r="AA227" s="136">
        <f t="shared" si="62"/>
        <v>0</v>
      </c>
      <c r="AB227" s="136">
        <f t="shared" si="62"/>
        <v>0</v>
      </c>
      <c r="AC227" s="136">
        <f t="shared" si="62"/>
        <v>0</v>
      </c>
      <c r="AD227" s="136">
        <f t="shared" si="62"/>
        <v>0</v>
      </c>
      <c r="AE227" s="136">
        <f t="shared" si="62"/>
        <v>0</v>
      </c>
      <c r="AF227" s="137">
        <f t="shared" si="62"/>
        <v>0</v>
      </c>
      <c r="AG227" s="138">
        <f t="shared" si="62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63">AF229</f>
        <v>0</v>
      </c>
      <c r="C229" s="140">
        <v>0.3</v>
      </c>
      <c r="D229" s="140">
        <f t="shared" ref="D229:P234" si="64">C229</f>
        <v>0.3</v>
      </c>
      <c r="E229" s="140">
        <f t="shared" si="64"/>
        <v>0.3</v>
      </c>
      <c r="F229" s="140">
        <f t="shared" si="64"/>
        <v>0.3</v>
      </c>
      <c r="G229" s="140">
        <f t="shared" si="64"/>
        <v>0.3</v>
      </c>
      <c r="H229" s="140">
        <f t="shared" si="64"/>
        <v>0.3</v>
      </c>
      <c r="I229" s="140">
        <f t="shared" si="64"/>
        <v>0.3</v>
      </c>
      <c r="J229" s="140">
        <f t="shared" si="64"/>
        <v>0.3</v>
      </c>
      <c r="K229" s="140">
        <f t="shared" si="64"/>
        <v>0.3</v>
      </c>
      <c r="L229" s="140">
        <f t="shared" si="64"/>
        <v>0.3</v>
      </c>
      <c r="M229" s="140">
        <f t="shared" si="64"/>
        <v>0.3</v>
      </c>
      <c r="N229" s="140">
        <f t="shared" si="64"/>
        <v>0.3</v>
      </c>
      <c r="O229" s="140">
        <f t="shared" si="64"/>
        <v>0.3</v>
      </c>
      <c r="P229" s="140">
        <f t="shared" si="64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63"/>
        <v>0</v>
      </c>
      <c r="C230" s="128">
        <v>0.4</v>
      </c>
      <c r="D230" s="128">
        <f t="shared" si="64"/>
        <v>0.4</v>
      </c>
      <c r="E230" s="128">
        <f t="shared" si="64"/>
        <v>0.4</v>
      </c>
      <c r="F230" s="128">
        <f t="shared" si="64"/>
        <v>0.4</v>
      </c>
      <c r="G230" s="128">
        <f t="shared" si="64"/>
        <v>0.4</v>
      </c>
      <c r="H230" s="128">
        <f t="shared" si="64"/>
        <v>0.4</v>
      </c>
      <c r="I230" s="128">
        <f t="shared" si="64"/>
        <v>0.4</v>
      </c>
      <c r="J230" s="128">
        <f t="shared" si="64"/>
        <v>0.4</v>
      </c>
      <c r="K230" s="128">
        <f t="shared" si="64"/>
        <v>0.4</v>
      </c>
      <c r="L230" s="128">
        <f t="shared" si="64"/>
        <v>0.4</v>
      </c>
      <c r="M230" s="128">
        <f t="shared" si="64"/>
        <v>0.4</v>
      </c>
      <c r="N230" s="128">
        <f t="shared" si="64"/>
        <v>0.4</v>
      </c>
      <c r="O230" s="128">
        <f t="shared" si="64"/>
        <v>0.4</v>
      </c>
      <c r="P230" s="128">
        <f t="shared" si="64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63"/>
        <v>0</v>
      </c>
      <c r="C231" s="128">
        <v>1.5</v>
      </c>
      <c r="D231" s="128">
        <f t="shared" si="64"/>
        <v>1.5</v>
      </c>
      <c r="E231" s="128">
        <f t="shared" si="64"/>
        <v>1.5</v>
      </c>
      <c r="F231" s="128">
        <f t="shared" si="64"/>
        <v>1.5</v>
      </c>
      <c r="G231" s="128">
        <f t="shared" si="64"/>
        <v>1.5</v>
      </c>
      <c r="H231" s="128">
        <f t="shared" si="64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64"/>
        <v>123.21900000000009</v>
      </c>
      <c r="K231" s="128">
        <f t="shared" ca="1" si="64"/>
        <v>123.21900000000009</v>
      </c>
      <c r="L231" s="128">
        <f t="shared" ca="1" si="64"/>
        <v>123.21900000000009</v>
      </c>
      <c r="M231" s="128">
        <f t="shared" ca="1" si="64"/>
        <v>119.19900000000008</v>
      </c>
      <c r="N231" s="128">
        <f t="shared" ca="1" si="64"/>
        <v>119.19900000000008</v>
      </c>
      <c r="O231" s="128">
        <f t="shared" ca="1" si="64"/>
        <v>119.19900000000008</v>
      </c>
      <c r="P231" s="128">
        <f t="shared" ca="1" si="64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63"/>
        <v>0</v>
      </c>
      <c r="C232" s="128">
        <v>0.3</v>
      </c>
      <c r="D232" s="128">
        <f t="shared" si="64"/>
        <v>0.3</v>
      </c>
      <c r="E232" s="128">
        <f t="shared" si="64"/>
        <v>0.3</v>
      </c>
      <c r="F232" s="128">
        <f t="shared" si="64"/>
        <v>0.3</v>
      </c>
      <c r="G232" s="128">
        <f t="shared" si="64"/>
        <v>0.3</v>
      </c>
      <c r="H232" s="128">
        <f t="shared" si="64"/>
        <v>0.3</v>
      </c>
      <c r="I232" s="128">
        <f t="shared" si="64"/>
        <v>0.3</v>
      </c>
      <c r="J232" s="128">
        <f t="shared" si="64"/>
        <v>0.3</v>
      </c>
      <c r="K232" s="128">
        <f t="shared" si="64"/>
        <v>0.3</v>
      </c>
      <c r="L232" s="128">
        <f t="shared" si="64"/>
        <v>0.3</v>
      </c>
      <c r="M232" s="128">
        <f t="shared" si="64"/>
        <v>0.3</v>
      </c>
      <c r="N232" s="128">
        <f t="shared" si="64"/>
        <v>0.3</v>
      </c>
      <c r="O232" s="128">
        <f t="shared" si="64"/>
        <v>0.3</v>
      </c>
      <c r="P232" s="128">
        <f t="shared" si="64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63"/>
        <v>0</v>
      </c>
      <c r="C233" s="128">
        <v>0.4</v>
      </c>
      <c r="D233" s="128">
        <f t="shared" si="64"/>
        <v>0.4</v>
      </c>
      <c r="E233" s="128">
        <f t="shared" si="64"/>
        <v>0.4</v>
      </c>
      <c r="F233" s="128">
        <f t="shared" si="64"/>
        <v>0.4</v>
      </c>
      <c r="G233" s="128">
        <f t="shared" si="64"/>
        <v>0.4</v>
      </c>
      <c r="H233" s="128">
        <f t="shared" si="64"/>
        <v>0.4</v>
      </c>
      <c r="I233" s="128">
        <f t="shared" si="64"/>
        <v>0.4</v>
      </c>
      <c r="J233" s="128">
        <f t="shared" si="64"/>
        <v>0.4</v>
      </c>
      <c r="K233" s="128">
        <f t="shared" si="64"/>
        <v>0.4</v>
      </c>
      <c r="L233" s="128">
        <f t="shared" si="64"/>
        <v>0.4</v>
      </c>
      <c r="M233" s="128">
        <f t="shared" si="64"/>
        <v>0.4</v>
      </c>
      <c r="N233" s="128">
        <f t="shared" si="64"/>
        <v>0.4</v>
      </c>
      <c r="O233" s="128">
        <f t="shared" si="64"/>
        <v>0.4</v>
      </c>
      <c r="P233" s="128">
        <f t="shared" si="64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63"/>
        <v>0</v>
      </c>
      <c r="C234" s="132">
        <v>0.64</v>
      </c>
      <c r="D234" s="132">
        <f t="shared" si="64"/>
        <v>0.64</v>
      </c>
      <c r="E234" s="132">
        <f t="shared" si="64"/>
        <v>0.64</v>
      </c>
      <c r="F234" s="132">
        <f t="shared" si="64"/>
        <v>0.64</v>
      </c>
      <c r="G234" s="132">
        <f t="shared" si="64"/>
        <v>0.64</v>
      </c>
      <c r="H234" s="132">
        <f t="shared" si="64"/>
        <v>0.64</v>
      </c>
      <c r="I234" s="132">
        <f t="shared" si="64"/>
        <v>0.64</v>
      </c>
      <c r="J234" s="132">
        <f t="shared" si="64"/>
        <v>0.64</v>
      </c>
      <c r="K234" s="132">
        <f t="shared" si="64"/>
        <v>0.64</v>
      </c>
      <c r="L234" s="132">
        <f t="shared" si="64"/>
        <v>0.64</v>
      </c>
      <c r="M234" s="132">
        <f t="shared" si="64"/>
        <v>0.64</v>
      </c>
      <c r="N234" s="132">
        <f t="shared" si="64"/>
        <v>0.64</v>
      </c>
      <c r="O234" s="132">
        <f t="shared" si="64"/>
        <v>0.64</v>
      </c>
      <c r="P234" s="132">
        <f t="shared" si="64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65">SUM(B229:B234)</f>
        <v>0</v>
      </c>
      <c r="C235" s="136">
        <f t="shared" si="65"/>
        <v>3.54</v>
      </c>
      <c r="D235" s="136">
        <f t="shared" si="65"/>
        <v>3.54</v>
      </c>
      <c r="E235" s="136">
        <f t="shared" si="65"/>
        <v>3.54</v>
      </c>
      <c r="F235" s="136">
        <f t="shared" si="65"/>
        <v>3.54</v>
      </c>
      <c r="G235" s="136">
        <f t="shared" si="65"/>
        <v>3.54</v>
      </c>
      <c r="H235" s="136">
        <f t="shared" si="65"/>
        <v>3.54</v>
      </c>
      <c r="I235" s="136">
        <f t="shared" ca="1" si="65"/>
        <v>121.23900000000009</v>
      </c>
      <c r="J235" s="136">
        <f t="shared" ca="1" si="65"/>
        <v>121.23900000000009</v>
      </c>
      <c r="K235" s="136">
        <f t="shared" ca="1" si="65"/>
        <v>121.23900000000009</v>
      </c>
      <c r="L235" s="136">
        <f t="shared" ca="1" si="65"/>
        <v>125.2590000000001</v>
      </c>
      <c r="M235" s="136">
        <f t="shared" ca="1" si="65"/>
        <v>121.23900000000009</v>
      </c>
      <c r="N235" s="136">
        <f t="shared" ca="1" si="65"/>
        <v>121.23900000000009</v>
      </c>
      <c r="O235" s="136">
        <f t="shared" ca="1" si="65"/>
        <v>121.23900000000009</v>
      </c>
      <c r="P235" s="136">
        <f t="shared" ca="1" si="65"/>
        <v>121.23900000000009</v>
      </c>
      <c r="Q235" s="136">
        <f t="shared" si="65"/>
        <v>0</v>
      </c>
      <c r="R235" s="136">
        <f t="shared" si="65"/>
        <v>0</v>
      </c>
      <c r="S235" s="136">
        <f t="shared" si="65"/>
        <v>0</v>
      </c>
      <c r="T235" s="136">
        <f t="shared" si="65"/>
        <v>0</v>
      </c>
      <c r="U235" s="136">
        <f t="shared" si="65"/>
        <v>0</v>
      </c>
      <c r="V235" s="136">
        <f t="shared" si="65"/>
        <v>0</v>
      </c>
      <c r="W235" s="136">
        <f t="shared" si="65"/>
        <v>0</v>
      </c>
      <c r="X235" s="136">
        <f t="shared" si="65"/>
        <v>0</v>
      </c>
      <c r="Y235" s="136">
        <f t="shared" si="65"/>
        <v>0</v>
      </c>
      <c r="Z235" s="136">
        <f t="shared" si="65"/>
        <v>0</v>
      </c>
      <c r="AA235" s="136">
        <f t="shared" si="65"/>
        <v>0</v>
      </c>
      <c r="AB235" s="136">
        <f t="shared" si="65"/>
        <v>0</v>
      </c>
      <c r="AC235" s="136">
        <f t="shared" si="65"/>
        <v>0</v>
      </c>
      <c r="AD235" s="136">
        <f t="shared" si="65"/>
        <v>0</v>
      </c>
      <c r="AE235" s="136">
        <f t="shared" si="65"/>
        <v>0</v>
      </c>
      <c r="AF235" s="136">
        <f t="shared" si="65"/>
        <v>0</v>
      </c>
      <c r="AG235" s="145">
        <f t="shared" si="65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2049.63</v>
      </c>
      <c r="C244" s="161">
        <f>INDEX(G9:N9,1,MATCH(MAX(G91:N91),G91:N91,0))</f>
        <v>0.25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66">B91</f>
        <v>2077.83</v>
      </c>
      <c r="U249" s="170">
        <f t="shared" si="66"/>
        <v>2051.23</v>
      </c>
      <c r="V249" s="170">
        <f t="shared" si="66"/>
        <v>2044.33</v>
      </c>
      <c r="W249" s="170">
        <f t="shared" si="66"/>
        <v>2035.73</v>
      </c>
      <c r="X249" s="170">
        <f t="shared" si="66"/>
        <v>2038.23</v>
      </c>
      <c r="Y249" s="170">
        <f t="shared" si="66"/>
        <v>2024.2300000000002</v>
      </c>
      <c r="Z249" s="170">
        <f t="shared" si="66"/>
        <v>2044.4300000000003</v>
      </c>
      <c r="AA249" s="170">
        <f t="shared" si="66"/>
        <v>2049.63</v>
      </c>
      <c r="AB249" s="170">
        <f t="shared" si="66"/>
        <v>1984.4300000000003</v>
      </c>
      <c r="AC249" s="170">
        <f t="shared" si="66"/>
        <v>1998.2300000000002</v>
      </c>
      <c r="AD249" s="170">
        <f t="shared" si="66"/>
        <v>2018.63</v>
      </c>
      <c r="AE249" s="170">
        <f t="shared" si="66"/>
        <v>2026.9300000000003</v>
      </c>
      <c r="AF249" s="170">
        <f t="shared" si="66"/>
        <v>1967.9300000000003</v>
      </c>
      <c r="AG249" s="170">
        <f t="shared" si="66"/>
        <v>1947.9300000000003</v>
      </c>
      <c r="AH249" s="170">
        <f t="shared" si="66"/>
        <v>1942.3300000000002</v>
      </c>
      <c r="AI249" s="170">
        <f t="shared" si="66"/>
        <v>1887.7300000000002</v>
      </c>
      <c r="AJ249" s="170">
        <f t="shared" si="66"/>
        <v>1843.7300000000002</v>
      </c>
      <c r="AK249" s="170">
        <f t="shared" si="66"/>
        <v>1849.3300000000002</v>
      </c>
      <c r="AL249" s="170">
        <f t="shared" si="66"/>
        <v>1775.9300000000003</v>
      </c>
      <c r="AM249" s="170">
        <f t="shared" si="66"/>
        <v>1750.7300000000002</v>
      </c>
      <c r="AN249" s="170">
        <f t="shared" si="66"/>
        <v>1751.7800000000002</v>
      </c>
      <c r="AO249" s="170">
        <f t="shared" si="66"/>
        <v>1750.38</v>
      </c>
      <c r="AP249" s="170">
        <f t="shared" si="66"/>
        <v>1851.5300000000002</v>
      </c>
      <c r="AQ249" s="170">
        <f t="shared" si="66"/>
        <v>1906.5300000000002</v>
      </c>
      <c r="AR249" s="170">
        <f t="shared" si="66"/>
        <v>1915.4299999999998</v>
      </c>
      <c r="AS249" s="170">
        <f t="shared" si="66"/>
        <v>1948.6299999999999</v>
      </c>
      <c r="AT249" s="170">
        <f t="shared" si="66"/>
        <v>1941.74</v>
      </c>
      <c r="AU249" s="170">
        <f t="shared" si="66"/>
        <v>2015.74</v>
      </c>
      <c r="AV249" s="170">
        <f t="shared" si="66"/>
        <v>2013.54</v>
      </c>
      <c r="AW249" s="170">
        <f t="shared" si="66"/>
        <v>1960.44</v>
      </c>
      <c r="AX249" s="170">
        <f t="shared" si="66"/>
        <v>1950.94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67">C234</f>
        <v>0.64</v>
      </c>
      <c r="C270" s="173">
        <f t="shared" si="67"/>
        <v>0.64</v>
      </c>
      <c r="D270" s="173">
        <f t="shared" si="67"/>
        <v>0.64</v>
      </c>
      <c r="E270" s="173">
        <f t="shared" si="67"/>
        <v>0.64</v>
      </c>
      <c r="F270" s="173">
        <f t="shared" si="67"/>
        <v>0.64</v>
      </c>
      <c r="G270" s="173">
        <f t="shared" si="67"/>
        <v>0.64</v>
      </c>
      <c r="H270" s="173">
        <f t="shared" si="67"/>
        <v>0.64</v>
      </c>
      <c r="I270" s="173">
        <f t="shared" si="67"/>
        <v>0.64</v>
      </c>
      <c r="J270" s="173">
        <f t="shared" si="67"/>
        <v>0.64</v>
      </c>
      <c r="K270" s="173">
        <f t="shared" si="67"/>
        <v>0.64</v>
      </c>
      <c r="L270" s="173">
        <f t="shared" si="67"/>
        <v>0.64</v>
      </c>
      <c r="M270" s="173">
        <f t="shared" si="67"/>
        <v>0.64</v>
      </c>
      <c r="N270" s="173">
        <f t="shared" si="67"/>
        <v>0.64</v>
      </c>
      <c r="O270" s="173">
        <f t="shared" si="67"/>
        <v>0.64</v>
      </c>
      <c r="P270" s="173">
        <f t="shared" si="67"/>
        <v>0</v>
      </c>
      <c r="Q270" s="173">
        <f t="shared" si="67"/>
        <v>0</v>
      </c>
      <c r="R270" s="173">
        <f t="shared" si="67"/>
        <v>0</v>
      </c>
      <c r="S270" s="173">
        <f t="shared" si="67"/>
        <v>0</v>
      </c>
      <c r="T270" s="173">
        <f t="shared" si="67"/>
        <v>0</v>
      </c>
      <c r="U270" s="173">
        <f t="shared" si="67"/>
        <v>0</v>
      </c>
      <c r="V270" s="173">
        <f t="shared" si="67"/>
        <v>0</v>
      </c>
      <c r="W270" s="173">
        <f t="shared" si="67"/>
        <v>0</v>
      </c>
      <c r="X270" s="173">
        <f t="shared" si="67"/>
        <v>0</v>
      </c>
      <c r="Y270" s="173">
        <f t="shared" si="67"/>
        <v>0</v>
      </c>
      <c r="Z270" s="173">
        <f t="shared" si="67"/>
        <v>0</v>
      </c>
      <c r="AA270" s="173">
        <f t="shared" si="67"/>
        <v>0</v>
      </c>
      <c r="AB270" s="173">
        <f t="shared" si="67"/>
        <v>0</v>
      </c>
      <c r="AC270" s="173">
        <f t="shared" si="67"/>
        <v>0</v>
      </c>
      <c r="AD270" s="173">
        <f t="shared" si="67"/>
        <v>0</v>
      </c>
      <c r="AE270" s="173">
        <f t="shared" si="67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68">IF(B238&lt;100,"",B238-520)</f>
        <v/>
      </c>
      <c r="C271" s="174" t="str">
        <f t="shared" si="68"/>
        <v/>
      </c>
      <c r="D271" s="174" t="str">
        <f t="shared" si="68"/>
        <v/>
      </c>
      <c r="E271" s="174" t="str">
        <f t="shared" si="68"/>
        <v/>
      </c>
      <c r="F271" s="174" t="str">
        <f t="shared" si="68"/>
        <v/>
      </c>
      <c r="G271" s="174" t="str">
        <f t="shared" si="68"/>
        <v/>
      </c>
      <c r="H271" s="174" t="str">
        <f t="shared" si="68"/>
        <v/>
      </c>
      <c r="I271" s="174" t="str">
        <f t="shared" si="68"/>
        <v/>
      </c>
      <c r="J271" s="174" t="str">
        <f t="shared" si="68"/>
        <v/>
      </c>
      <c r="K271" s="174" t="str">
        <f t="shared" si="68"/>
        <v/>
      </c>
      <c r="L271" s="174" t="str">
        <f t="shared" si="68"/>
        <v/>
      </c>
      <c r="M271" s="174" t="str">
        <f t="shared" si="68"/>
        <v/>
      </c>
      <c r="N271" s="174" t="str">
        <f t="shared" si="68"/>
        <v/>
      </c>
      <c r="O271" s="174" t="str">
        <f t="shared" si="68"/>
        <v/>
      </c>
      <c r="P271" s="174" t="str">
        <f t="shared" si="68"/>
        <v/>
      </c>
      <c r="Q271" s="174" t="str">
        <f t="shared" si="68"/>
        <v/>
      </c>
      <c r="R271" s="174" t="str">
        <f t="shared" si="68"/>
        <v/>
      </c>
      <c r="S271" s="174" t="str">
        <f t="shared" si="68"/>
        <v/>
      </c>
      <c r="T271" s="174" t="str">
        <f t="shared" si="68"/>
        <v/>
      </c>
      <c r="U271" s="174" t="str">
        <f t="shared" si="68"/>
        <v/>
      </c>
      <c r="V271" s="174" t="str">
        <f t="shared" si="68"/>
        <v/>
      </c>
      <c r="W271" s="174" t="str">
        <f t="shared" si="68"/>
        <v/>
      </c>
      <c r="X271" s="174" t="str">
        <f t="shared" si="68"/>
        <v/>
      </c>
      <c r="Y271" s="174" t="str">
        <f t="shared" si="68"/>
        <v/>
      </c>
      <c r="Z271" s="174" t="str">
        <f t="shared" si="68"/>
        <v/>
      </c>
      <c r="AA271" s="174" t="str">
        <f t="shared" si="68"/>
        <v/>
      </c>
      <c r="AB271" s="174" t="str">
        <f t="shared" si="68"/>
        <v/>
      </c>
      <c r="AC271" s="174" t="str">
        <f t="shared" si="68"/>
        <v/>
      </c>
      <c r="AD271" s="174" t="str">
        <f t="shared" si="68"/>
        <v/>
      </c>
      <c r="AE271" s="174" t="str">
        <f t="shared" si="68"/>
        <v/>
      </c>
      <c r="AF271" s="174" t="str">
        <f t="shared" si="68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69">IF(B239&lt;100,"",B239-620)</f>
        <v/>
      </c>
      <c r="C272" s="174" t="str">
        <f t="shared" si="69"/>
        <v/>
      </c>
      <c r="D272" s="174" t="str">
        <f t="shared" si="69"/>
        <v/>
      </c>
      <c r="E272" s="174" t="str">
        <f t="shared" si="69"/>
        <v/>
      </c>
      <c r="F272" s="174" t="str">
        <f t="shared" si="69"/>
        <v/>
      </c>
      <c r="G272" s="174" t="str">
        <f t="shared" si="69"/>
        <v/>
      </c>
      <c r="H272" s="174" t="str">
        <f t="shared" si="69"/>
        <v/>
      </c>
      <c r="I272" s="174" t="str">
        <f t="shared" si="69"/>
        <v/>
      </c>
      <c r="J272" s="174" t="str">
        <f t="shared" si="69"/>
        <v/>
      </c>
      <c r="K272" s="174" t="str">
        <f t="shared" si="69"/>
        <v/>
      </c>
      <c r="L272" s="174" t="str">
        <f t="shared" si="69"/>
        <v/>
      </c>
      <c r="M272" s="174" t="str">
        <f t="shared" si="69"/>
        <v/>
      </c>
      <c r="N272" s="174" t="str">
        <f t="shared" si="69"/>
        <v/>
      </c>
      <c r="O272" s="174" t="str">
        <f t="shared" si="69"/>
        <v/>
      </c>
      <c r="P272" s="174" t="str">
        <f t="shared" si="69"/>
        <v/>
      </c>
      <c r="Q272" s="174" t="str">
        <f t="shared" si="69"/>
        <v/>
      </c>
      <c r="R272" s="174" t="str">
        <f t="shared" si="69"/>
        <v/>
      </c>
      <c r="S272" s="174" t="str">
        <f t="shared" si="69"/>
        <v/>
      </c>
      <c r="T272" s="174" t="str">
        <f t="shared" si="69"/>
        <v/>
      </c>
      <c r="U272" s="174" t="str">
        <f t="shared" si="69"/>
        <v/>
      </c>
      <c r="V272" s="174" t="str">
        <f t="shared" si="69"/>
        <v/>
      </c>
      <c r="W272" s="174" t="str">
        <f t="shared" si="69"/>
        <v/>
      </c>
      <c r="X272" s="174" t="str">
        <f t="shared" si="69"/>
        <v/>
      </c>
      <c r="Y272" s="174" t="str">
        <f t="shared" si="69"/>
        <v/>
      </c>
      <c r="Z272" s="174" t="str">
        <f t="shared" si="69"/>
        <v/>
      </c>
      <c r="AA272" s="174" t="str">
        <f t="shared" si="69"/>
        <v/>
      </c>
      <c r="AB272" s="174" t="str">
        <f t="shared" si="69"/>
        <v/>
      </c>
      <c r="AC272" s="174" t="str">
        <f t="shared" si="69"/>
        <v/>
      </c>
      <c r="AD272" s="174" t="str">
        <f t="shared" si="69"/>
        <v/>
      </c>
      <c r="AE272" s="174" t="str">
        <f t="shared" si="69"/>
        <v/>
      </c>
      <c r="AF272" s="174" t="str">
        <f t="shared" si="69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70">IF(B240&lt;100,"",B240-330)</f>
        <v/>
      </c>
      <c r="C273" s="174" t="str">
        <f t="shared" si="70"/>
        <v/>
      </c>
      <c r="D273" s="174" t="str">
        <f t="shared" si="70"/>
        <v/>
      </c>
      <c r="E273" s="174" t="str">
        <f t="shared" si="70"/>
        <v/>
      </c>
      <c r="F273" s="174" t="str">
        <f t="shared" si="70"/>
        <v/>
      </c>
      <c r="G273" s="174" t="str">
        <f t="shared" si="70"/>
        <v/>
      </c>
      <c r="H273" s="174" t="str">
        <f t="shared" si="70"/>
        <v/>
      </c>
      <c r="I273" s="174" t="str">
        <f t="shared" si="70"/>
        <v/>
      </c>
      <c r="J273" s="174" t="str">
        <f t="shared" si="70"/>
        <v/>
      </c>
      <c r="K273" s="174" t="str">
        <f t="shared" si="70"/>
        <v/>
      </c>
      <c r="L273" s="174" t="str">
        <f t="shared" si="70"/>
        <v/>
      </c>
      <c r="M273" s="174" t="str">
        <f t="shared" si="70"/>
        <v/>
      </c>
      <c r="N273" s="174" t="str">
        <f t="shared" si="70"/>
        <v/>
      </c>
      <c r="O273" s="174" t="str">
        <f t="shared" si="70"/>
        <v/>
      </c>
      <c r="P273" s="174" t="str">
        <f t="shared" si="70"/>
        <v/>
      </c>
      <c r="Q273" s="174" t="str">
        <f t="shared" si="70"/>
        <v/>
      </c>
      <c r="R273" s="174" t="str">
        <f t="shared" si="70"/>
        <v/>
      </c>
      <c r="S273" s="174" t="str">
        <f t="shared" si="70"/>
        <v/>
      </c>
      <c r="T273" s="174" t="str">
        <f t="shared" si="70"/>
        <v/>
      </c>
      <c r="U273" s="174" t="str">
        <f t="shared" si="70"/>
        <v/>
      </c>
      <c r="V273" s="174" t="str">
        <f t="shared" si="70"/>
        <v/>
      </c>
      <c r="W273" s="174" t="str">
        <f t="shared" si="70"/>
        <v/>
      </c>
      <c r="X273" s="174" t="str">
        <f t="shared" si="70"/>
        <v/>
      </c>
      <c r="Y273" s="174" t="str">
        <f t="shared" si="70"/>
        <v/>
      </c>
      <c r="Z273" s="174" t="str">
        <f t="shared" si="70"/>
        <v/>
      </c>
      <c r="AA273" s="174" t="str">
        <f t="shared" si="70"/>
        <v/>
      </c>
      <c r="AB273" s="174" t="str">
        <f t="shared" si="70"/>
        <v/>
      </c>
      <c r="AC273" s="174" t="str">
        <f t="shared" si="70"/>
        <v/>
      </c>
      <c r="AD273" s="174" t="str">
        <f t="shared" si="70"/>
        <v/>
      </c>
      <c r="AE273" s="174" t="str">
        <f t="shared" si="70"/>
        <v/>
      </c>
      <c r="AF273" s="174" t="str">
        <f t="shared" si="70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71">IF(B241&lt;100,"",B241-1500)</f>
        <v/>
      </c>
      <c r="C274" s="174" t="str">
        <f t="shared" si="71"/>
        <v/>
      </c>
      <c r="D274" s="174" t="str">
        <f t="shared" si="71"/>
        <v/>
      </c>
      <c r="E274" s="174" t="str">
        <f t="shared" si="71"/>
        <v/>
      </c>
      <c r="F274" s="174" t="str">
        <f t="shared" si="71"/>
        <v/>
      </c>
      <c r="G274" s="174" t="str">
        <f t="shared" si="71"/>
        <v/>
      </c>
      <c r="H274" s="174" t="str">
        <f t="shared" si="71"/>
        <v/>
      </c>
      <c r="I274" s="174" t="str">
        <f t="shared" si="71"/>
        <v/>
      </c>
      <c r="J274" s="174" t="str">
        <f t="shared" si="71"/>
        <v/>
      </c>
      <c r="K274" s="174" t="str">
        <f t="shared" si="71"/>
        <v/>
      </c>
      <c r="L274" s="174" t="str">
        <f t="shared" si="71"/>
        <v/>
      </c>
      <c r="M274" s="174" t="str">
        <f t="shared" si="71"/>
        <v/>
      </c>
      <c r="N274" s="174" t="str">
        <f t="shared" si="71"/>
        <v/>
      </c>
      <c r="O274" s="174" t="str">
        <f t="shared" si="71"/>
        <v/>
      </c>
      <c r="P274" s="174" t="str">
        <f t="shared" si="71"/>
        <v/>
      </c>
      <c r="Q274" s="174" t="str">
        <f t="shared" si="71"/>
        <v/>
      </c>
      <c r="R274" s="174" t="str">
        <f t="shared" si="71"/>
        <v/>
      </c>
      <c r="S274" s="174" t="str">
        <f t="shared" si="71"/>
        <v/>
      </c>
      <c r="T274" s="174" t="str">
        <f t="shared" si="71"/>
        <v/>
      </c>
      <c r="U274" s="174" t="str">
        <f t="shared" si="71"/>
        <v/>
      </c>
      <c r="V274" s="174" t="str">
        <f t="shared" si="71"/>
        <v/>
      </c>
      <c r="W274" s="174" t="str">
        <f t="shared" si="71"/>
        <v/>
      </c>
      <c r="X274" s="174" t="str">
        <f t="shared" si="71"/>
        <v/>
      </c>
      <c r="Y274" s="174" t="str">
        <f t="shared" si="71"/>
        <v/>
      </c>
      <c r="Z274" s="174" t="str">
        <f t="shared" si="71"/>
        <v/>
      </c>
      <c r="AA274" s="174" t="str">
        <f t="shared" si="71"/>
        <v/>
      </c>
      <c r="AB274" s="174" t="str">
        <f t="shared" si="71"/>
        <v/>
      </c>
      <c r="AC274" s="174" t="str">
        <f t="shared" si="71"/>
        <v/>
      </c>
      <c r="AD274" s="174" t="str">
        <f t="shared" si="71"/>
        <v/>
      </c>
      <c r="AE274" s="174" t="str">
        <f t="shared" si="71"/>
        <v/>
      </c>
      <c r="AF274" s="174" t="str">
        <f t="shared" si="71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335" priority="64">
      <formula>$AH11=0</formula>
    </cfRule>
  </conditionalFormatting>
  <conditionalFormatting sqref="B8 M8 S8 AB8">
    <cfRule type="expression" dxfId="1334" priority="117">
      <formula>C$9&lt;8/24</formula>
    </cfRule>
    <cfRule type="expression" dxfId="1333" priority="116">
      <formula>AND(C$9&gt;=8/24,C$9&lt;14/24)</formula>
    </cfRule>
    <cfRule type="expression" dxfId="1332" priority="115">
      <formula>AND(C$9&gt;=14/24,C$9&lt;20/24)</formula>
    </cfRule>
  </conditionalFormatting>
  <conditionalFormatting sqref="B54:C54">
    <cfRule type="expression" dxfId="1331" priority="38">
      <formula>B$9&gt;=20/24</formula>
    </cfRule>
    <cfRule type="expression" dxfId="1330" priority="39">
      <formula>AND(B$9&gt;=14/24,B$9&lt;20/24)</formula>
    </cfRule>
    <cfRule type="expression" dxfId="1329" priority="40">
      <formula>AND(B$9&gt;=8/24,B$9&lt;14/24)</formula>
    </cfRule>
    <cfRule type="expression" dxfId="1328" priority="41">
      <formula>B$9&lt;8/24</formula>
    </cfRule>
  </conditionalFormatting>
  <conditionalFormatting sqref="B54:C66">
    <cfRule type="expression" dxfId="1327" priority="33">
      <formula>B54&gt;$AG54</formula>
    </cfRule>
  </conditionalFormatting>
  <conditionalFormatting sqref="B55:E59">
    <cfRule type="expression" dxfId="1326" priority="63">
      <formula>B$9&lt;8/24</formula>
    </cfRule>
    <cfRule type="expression" dxfId="1325" priority="62">
      <formula>AND(B$9&gt;=8/24,B$9&lt;14/24)</formula>
    </cfRule>
    <cfRule type="expression" dxfId="1324" priority="61">
      <formula>AND(B$9&gt;=14/24,B$9&lt;20/24)</formula>
    </cfRule>
    <cfRule type="expression" dxfId="1323" priority="60">
      <formula>B$9&gt;=20/24</formula>
    </cfRule>
  </conditionalFormatting>
  <conditionalFormatting sqref="B60:Z60">
    <cfRule type="expression" dxfId="1322" priority="54">
      <formula>B$9&lt;8/24</formula>
    </cfRule>
    <cfRule type="expression" dxfId="1321" priority="53">
      <formula>AND(B$9&gt;=8/24,B$9&lt;14/24)</formula>
    </cfRule>
    <cfRule type="expression" dxfId="1320" priority="52">
      <formula>AND(B$9&gt;=14/24,B$9&lt;20/24)</formula>
    </cfRule>
    <cfRule type="expression" dxfId="1319" priority="51">
      <formula>B$9&gt;=20/24</formula>
    </cfRule>
  </conditionalFormatting>
  <conditionalFormatting sqref="B9:AF45">
    <cfRule type="expression" dxfId="1318" priority="23">
      <formula>B$9&gt;=20/24</formula>
    </cfRule>
    <cfRule type="expression" dxfId="1317" priority="24">
      <formula>AND(B$9&gt;=14/24,B$9&lt;20/24)</formula>
    </cfRule>
    <cfRule type="expression" dxfId="1316" priority="25">
      <formula>AND(B$9&gt;=8/24,B$9&lt;14/24)</formula>
    </cfRule>
    <cfRule type="expression" dxfId="1315" priority="26">
      <formula>B$9&lt;8/24</formula>
    </cfRule>
  </conditionalFormatting>
  <conditionalFormatting sqref="B11:AF46">
    <cfRule type="expression" dxfId="1314" priority="22">
      <formula>B11&gt;$AG11</formula>
    </cfRule>
  </conditionalFormatting>
  <conditionalFormatting sqref="B46:AF46">
    <cfRule type="expression" dxfId="1313" priority="21">
      <formula>B$9&lt;8/24</formula>
    </cfRule>
    <cfRule type="expression" dxfId="1312" priority="20">
      <formula>AND(B$9&gt;=8/24,B$9&lt;14/24)</formula>
    </cfRule>
    <cfRule type="expression" dxfId="1311" priority="18">
      <formula>B$9&gt;=20/24</formula>
    </cfRule>
    <cfRule type="expression" dxfId="1310" priority="19">
      <formula>AND(B$9&gt;=14/24,B$9&lt;20/24)</formula>
    </cfRule>
  </conditionalFormatting>
  <conditionalFormatting sqref="B47:AF47">
    <cfRule type="expression" dxfId="1309" priority="32">
      <formula>B47&gt;$AG47</formula>
    </cfRule>
  </conditionalFormatting>
  <conditionalFormatting sqref="B47:AF49">
    <cfRule type="expression" dxfId="1308" priority="31">
      <formula>B$9&lt;8/24</formula>
    </cfRule>
    <cfRule type="expression" dxfId="1307" priority="30">
      <formula>AND(B$9&gt;=8/24,B$9&lt;14/24)</formula>
    </cfRule>
    <cfRule type="expression" dxfId="1306" priority="29">
      <formula>AND(B$9&gt;=14/24,B$9&lt;20/24)</formula>
    </cfRule>
    <cfRule type="expression" dxfId="1305" priority="28">
      <formula>B$9&gt;=20/24</formula>
    </cfRule>
  </conditionalFormatting>
  <conditionalFormatting sqref="B48:AF53">
    <cfRule type="expression" dxfId="1304" priority="27">
      <formula>B48&gt;$AG48</formula>
    </cfRule>
  </conditionalFormatting>
  <conditionalFormatting sqref="B51:AF53">
    <cfRule type="expression" dxfId="1303" priority="50">
      <formula>B$9&lt;8/24</formula>
    </cfRule>
    <cfRule type="expression" dxfId="1302" priority="47">
      <formula>B$9&gt;=20/24</formula>
    </cfRule>
    <cfRule type="expression" dxfId="1301" priority="49">
      <formula>AND(B$9&gt;=8/24,B$9&lt;14/24)</formula>
    </cfRule>
    <cfRule type="expression" dxfId="1300" priority="48">
      <formula>AND(B$9&gt;=14/24,B$9&lt;20/24)</formula>
    </cfRule>
  </conditionalFormatting>
  <conditionalFormatting sqref="B61:AF66">
    <cfRule type="expression" dxfId="1299" priority="35">
      <formula>AND(B$9&gt;=14/24,B$9&lt;20/24)</formula>
    </cfRule>
    <cfRule type="expression" dxfId="1298" priority="36">
      <formula>AND(B$9&gt;=8/24,B$9&lt;14/24)</formula>
    </cfRule>
    <cfRule type="expression" dxfId="1297" priority="37">
      <formula>B$9&lt;8/24</formula>
    </cfRule>
    <cfRule type="expression" dxfId="1296" priority="34">
      <formula>B$9&gt;=20/24</formula>
    </cfRule>
  </conditionalFormatting>
  <conditionalFormatting sqref="B69:AF71">
    <cfRule type="expression" dxfId="1295" priority="59">
      <formula>B$9&lt;8/24</formula>
    </cfRule>
    <cfRule type="expression" dxfId="1294" priority="58">
      <formula>AND(B$9&gt;=8/24,B$9&lt;14/24)</formula>
    </cfRule>
    <cfRule type="expression" dxfId="1293" priority="55">
      <formula>B69&gt;$AG69</formula>
    </cfRule>
    <cfRule type="expression" dxfId="1292" priority="56">
      <formula>B$9&gt;=20/24</formula>
    </cfRule>
    <cfRule type="expression" dxfId="1291" priority="57">
      <formula>AND(B$9&gt;=14/24,B$9&lt;20/24)</formula>
    </cfRule>
  </conditionalFormatting>
  <conditionalFormatting sqref="B73:AF91">
    <cfRule type="expression" dxfId="1290" priority="2">
      <formula>AND(B$9&gt;=14/24,B$9&lt;20/24)</formula>
    </cfRule>
    <cfRule type="expression" dxfId="1289" priority="4">
      <formula>B$9&lt;8/24</formula>
    </cfRule>
    <cfRule type="expression" dxfId="1288" priority="3">
      <formula>AND(B$9&gt;=8/24,B$9&lt;14/24)</formula>
    </cfRule>
    <cfRule type="expression" dxfId="1287" priority="1">
      <formula>B$9&gt;=20/24</formula>
    </cfRule>
  </conditionalFormatting>
  <conditionalFormatting sqref="B111:AF120">
    <cfRule type="expression" dxfId="1286" priority="17">
      <formula>B$9&lt;8/24</formula>
    </cfRule>
    <cfRule type="expression" dxfId="1285" priority="16">
      <formula>AND(B$9&gt;=8/24,B$9&lt;14/24)</formula>
    </cfRule>
    <cfRule type="expression" dxfId="1284" priority="15">
      <formula>AND(B$9&gt;=14/24,B$9&lt;20/24)</formula>
    </cfRule>
    <cfRule type="expression" dxfId="1283" priority="14">
      <formula>B$9&gt;=20/24</formula>
    </cfRule>
  </conditionalFormatting>
  <conditionalFormatting sqref="B227:AF227 D229:AF230 B229:B235 D231:H231 J231:AF231 D232:AF235 U248:AF248">
    <cfRule type="expression" dxfId="1282" priority="110">
      <formula>AND(B$9&gt;=8/24,B$9&lt;14/24)</formula>
    </cfRule>
    <cfRule type="expression" dxfId="1281" priority="111">
      <formula>B$9&lt;8/24</formula>
    </cfRule>
    <cfRule type="expression" dxfId="1280" priority="109">
      <formula>AND(B$9&gt;=14/24,B$9&lt;20/24)</formula>
    </cfRule>
    <cfRule type="expression" dxfId="1279" priority="108">
      <formula>B$9&gt;=20/24</formula>
    </cfRule>
  </conditionalFormatting>
  <conditionalFormatting sqref="B67:AG68 B72:AG72">
    <cfRule type="expression" dxfId="1278" priority="42">
      <formula>B67&gt;$AG67</formula>
    </cfRule>
  </conditionalFormatting>
  <conditionalFormatting sqref="B72:AG72 B93:AF109">
    <cfRule type="expression" dxfId="1277" priority="44">
      <formula>AND(B$9&gt;=14/24,B$9&lt;20/24)</formula>
    </cfRule>
    <cfRule type="expression" dxfId="1276" priority="43">
      <formula>B$9&gt;=20/24</formula>
    </cfRule>
    <cfRule type="expression" dxfId="1275" priority="46">
      <formula>B$9&lt;8/24</formula>
    </cfRule>
    <cfRule type="expression" dxfId="1274" priority="45">
      <formula>AND(B$9&gt;=8/24,B$9&lt;14/24)</formula>
    </cfRule>
  </conditionalFormatting>
  <conditionalFormatting sqref="D55:AF66">
    <cfRule type="expression" dxfId="1273" priority="5">
      <formula>D55&gt;$AG55</formula>
    </cfRule>
  </conditionalFormatting>
  <conditionalFormatting sqref="D54:AG54">
    <cfRule type="expression" dxfId="1272" priority="76">
      <formula>D54&gt;$AG54</formula>
    </cfRule>
    <cfRule type="expression" dxfId="1271" priority="77">
      <formula>D$9&gt;=20/24</formula>
    </cfRule>
    <cfRule type="expression" dxfId="1270" priority="78">
      <formula>AND(D$9&gt;=14/24,D$9&lt;20/24)</formula>
    </cfRule>
    <cfRule type="expression" dxfId="1269" priority="79">
      <formula>AND(D$9&gt;=8/24,D$9&lt;14/24)</formula>
    </cfRule>
    <cfRule type="expression" dxfId="1268" priority="80">
      <formula>D$9&lt;8/24</formula>
    </cfRule>
  </conditionalFormatting>
  <conditionalFormatting sqref="F55:Z57">
    <cfRule type="expression" dxfId="1267" priority="91">
      <formula>AND(F$9&gt;=8/24,F$9&lt;14/24)</formula>
    </cfRule>
    <cfRule type="expression" dxfId="1266" priority="92">
      <formula>F$9&lt;8/24</formula>
    </cfRule>
    <cfRule type="expression" dxfId="1265" priority="89">
      <formula>F$9&gt;=20/24</formula>
    </cfRule>
    <cfRule type="expression" dxfId="1264" priority="90">
      <formula>AND(F$9&gt;=14/24,F$9&lt;20/24)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263" priority="114">
      <formula>C$9&gt;=20/24</formula>
    </cfRule>
  </conditionalFormatting>
  <conditionalFormatting sqref="S8">
    <cfRule type="expression" dxfId="1262" priority="101">
      <formula>U$9&gt;=20/24</formula>
    </cfRule>
    <cfRule type="expression" dxfId="1261" priority="102">
      <formula>AND(U$9&gt;=14/24,U$9&lt;20/24)</formula>
    </cfRule>
    <cfRule type="expression" dxfId="1260" priority="103">
      <formula>AND(U$9&gt;=8/24,U$9&lt;14/24)</formula>
    </cfRule>
    <cfRule type="expression" dxfId="1259" priority="104">
      <formula>U$9&lt;8/24</formula>
    </cfRule>
  </conditionalFormatting>
  <conditionalFormatting sqref="T248">
    <cfRule type="expression" dxfId="1258" priority="129">
      <formula>AX$9&lt;8/24</formula>
    </cfRule>
    <cfRule type="expression" dxfId="1257" priority="126">
      <formula>AX$9&gt;=20/24</formula>
    </cfRule>
    <cfRule type="expression" dxfId="1256" priority="127">
      <formula>AND(AX$9&gt;=14/24,AX$9&lt;20/24)</formula>
    </cfRule>
    <cfRule type="expression" dxfId="1255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1254" priority="13">
      <formula>AA$9&lt;8/24</formula>
    </cfRule>
    <cfRule type="expression" dxfId="1253" priority="11">
      <formula>AND(AA$9&gt;=14/24,AA$9&lt;20/24)</formula>
    </cfRule>
    <cfRule type="expression" dxfId="1252" priority="12">
      <formula>AND(AA$9&gt;=8/24,AA$9&lt;14/24)</formula>
    </cfRule>
    <cfRule type="expression" dxfId="1251" priority="10">
      <formula>AA$9&gt;=20/24</formula>
    </cfRule>
  </conditionalFormatting>
  <conditionalFormatting sqref="AB8">
    <cfRule type="expression" dxfId="1250" priority="97">
      <formula>AD$9&gt;=20/24</formula>
    </cfRule>
    <cfRule type="expression" dxfId="1249" priority="98">
      <formula>AND(AD$9&gt;=14/24,AD$9&lt;20/24)</formula>
    </cfRule>
    <cfRule type="expression" dxfId="1248" priority="99">
      <formula>AND(AD$9&gt;=8/24,AD$9&lt;14/24)</formula>
    </cfRule>
    <cfRule type="expression" dxfId="1247" priority="100">
      <formula>AD$9&lt;8/24</formula>
    </cfRule>
  </conditionalFormatting>
  <conditionalFormatting sqref="AE61:AF66">
    <cfRule type="expression" dxfId="1246" priority="6">
      <formula>AE$9&gt;=20/24</formula>
    </cfRule>
    <cfRule type="expression" dxfId="1245" priority="9">
      <formula>AE$9&lt;8/24</formula>
    </cfRule>
    <cfRule type="expression" dxfId="1244" priority="8">
      <formula>AND(AE$9&gt;=8/24,AE$9&lt;14/24)</formula>
    </cfRule>
    <cfRule type="expression" dxfId="1243" priority="7">
      <formula>AND(AE$9&gt;=14/24,AE$9&lt;20/24)</formula>
    </cfRule>
  </conditionalFormatting>
  <conditionalFormatting sqref="AG50">
    <cfRule type="expression" dxfId="1242" priority="84">
      <formula>AG50&gt;$AG50</formula>
    </cfRule>
  </conditionalFormatting>
  <conditionalFormatting sqref="AG89">
    <cfRule type="expression" dxfId="1241" priority="85">
      <formula>AG$9&gt;=20/24</formula>
    </cfRule>
    <cfRule type="expression" dxfId="1240" priority="86">
      <formula>AND(AG$9&gt;=14/24,AG$9&lt;20/24)</formula>
    </cfRule>
    <cfRule type="expression" dxfId="1239" priority="87">
      <formula>AND(AG$9&gt;=8/24,AG$9&lt;14/24)</formula>
    </cfRule>
    <cfRule type="expression" dxfId="1238" priority="88">
      <formula>AG$9&lt;8/24</formula>
    </cfRule>
  </conditionalFormatting>
  <conditionalFormatting sqref="AG248">
    <cfRule type="expression" dxfId="1237" priority="118">
      <formula>B$9&gt;=20/24</formula>
    </cfRule>
    <cfRule type="expression" dxfId="1236" priority="119">
      <formula>AND(B$9&gt;=14/24,B$9&lt;20/24)</formula>
    </cfRule>
    <cfRule type="expression" dxfId="1235" priority="120">
      <formula>AND(B$9&gt;=8/24,B$9&lt;14/24)</formula>
    </cfRule>
    <cfRule type="expression" dxfId="1234" priority="121">
      <formula>B$9&lt;8/24</formula>
    </cfRule>
  </conditionalFormatting>
  <conditionalFormatting sqref="AH248:AX248">
    <cfRule type="expression" dxfId="1233" priority="122">
      <formula>AG$9&gt;=20/24</formula>
    </cfRule>
    <cfRule type="expression" dxfId="1232" priority="123">
      <formula>AND(AG$9&gt;=14/24,AG$9&lt;20/24)</formula>
    </cfRule>
    <cfRule type="expression" dxfId="1231" priority="124">
      <formula>AND(AG$9&gt;=8/24,AG$9&lt;14/24)</formula>
    </cfRule>
    <cfRule type="expression" dxfId="123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229" priority="131">
      <formula>AJ$9&gt;=20/24</formula>
    </cfRule>
    <cfRule type="expression" dxfId="1228" priority="132">
      <formula>AND(AJ$9&gt;=14/24,AJ$9&lt;20/24)</formula>
    </cfRule>
    <cfRule type="expression" dxfId="1227" priority="133">
      <formula>AND(AJ$9&gt;=8/24,AJ$9&lt;14/24)</formula>
    </cfRule>
    <cfRule type="expression" dxfId="1226" priority="134">
      <formula>AJ$9&lt;8/24</formula>
    </cfRule>
  </conditionalFormatting>
  <conditionalFormatting sqref="AL80:AN80 AL86:AN86">
    <cfRule type="expression" dxfId="1225" priority="72">
      <formula>AL$9&gt;=20/24</formula>
    </cfRule>
    <cfRule type="expression" dxfId="1224" priority="73">
      <formula>AND(AL$9&gt;=14/24,AL$9&lt;20/24)</formula>
    </cfRule>
    <cfRule type="expression" dxfId="1223" priority="74">
      <formula>AND(AL$9&gt;=8/24,AL$9&lt;14/24)</formula>
    </cfRule>
    <cfRule type="expression" dxfId="1222" priority="75">
      <formula>AL$9&lt;8/24</formula>
    </cfRule>
  </conditionalFormatting>
  <conditionalFormatting sqref="AN81:AN84">
    <cfRule type="expression" dxfId="1221" priority="68">
      <formula>AN$9&gt;=20/24</formula>
    </cfRule>
    <cfRule type="expression" dxfId="1220" priority="69">
      <formula>AND(AN$9&gt;=14/24,AN$9&lt;20/24)</formula>
    </cfRule>
    <cfRule type="expression" dxfId="1219" priority="70">
      <formula>AND(AN$9&gt;=8/24,AN$9&lt;14/24)</formula>
    </cfRule>
    <cfRule type="expression" dxfId="1218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BA43F-0581-47C8-9F29-35C430B4C05F}">
  <sheetPr codeName="Sheet28"/>
  <dimension ref="A1:CJ281"/>
  <sheetViews>
    <sheetView workbookViewId="0">
      <pane xSplit="1" ySplit="10" topLeftCell="O7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D75" sqref="AD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.5703125" style="1" customWidth="1"/>
    <col min="12" max="12" width="6.8554687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2080/05/24</v>
      </c>
      <c r="C4" s="196"/>
      <c r="D4" s="196"/>
      <c r="E4" s="197" t="str">
        <f ca="1">"2080/"&amp;"05/"&amp;INT(MID(CELL("filename",G6),FIND("]",CELL("filename",G6))+1,200))</f>
        <v>2080/05/24</v>
      </c>
      <c r="F4" s="197"/>
      <c r="G4" s="197"/>
      <c r="H4" s="197" t="str">
        <f ca="1">TEXT(E4,"dddd")</f>
        <v>Friday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3</v>
      </c>
      <c r="V5" s="30">
        <f t="shared" si="0"/>
        <v>0</v>
      </c>
      <c r="W5" s="30">
        <f t="shared" si="0"/>
        <v>11.3</v>
      </c>
      <c r="X5" s="30">
        <f t="shared" si="0"/>
        <v>26.8</v>
      </c>
      <c r="Y5" s="30">
        <f t="shared" si="0"/>
        <v>12.3</v>
      </c>
      <c r="Z5" s="30">
        <f t="shared" si="0"/>
        <v>1.7</v>
      </c>
      <c r="AA5" s="30">
        <f t="shared" si="0"/>
        <v>0</v>
      </c>
      <c r="AB5" s="30">
        <f t="shared" si="0"/>
        <v>4.0999999999999996</v>
      </c>
      <c r="AC5" s="30">
        <f t="shared" si="0"/>
        <v>0</v>
      </c>
      <c r="AD5" s="30">
        <f t="shared" si="0"/>
        <v>6.1</v>
      </c>
      <c r="AE5" s="30">
        <f t="shared" si="0"/>
        <v>11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2047MW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Load=1932</v>
      </c>
      <c r="B7" s="35">
        <f t="shared" ref="B7:AF7" si="1">B91</f>
        <v>1943.94</v>
      </c>
      <c r="C7" s="35">
        <f t="shared" si="1"/>
        <v>1995.8400000000001</v>
      </c>
      <c r="D7" s="35">
        <f t="shared" si="1"/>
        <v>1932.14</v>
      </c>
      <c r="E7" s="35">
        <f t="shared" si="1"/>
        <v>1987.8400000000001</v>
      </c>
      <c r="F7" s="35">
        <f t="shared" si="1"/>
        <v>1969.44</v>
      </c>
      <c r="G7" s="35">
        <f t="shared" si="1"/>
        <v>1985.5400000000002</v>
      </c>
      <c r="H7" s="35">
        <f t="shared" si="1"/>
        <v>1987.64</v>
      </c>
      <c r="I7" s="35">
        <f t="shared" si="1"/>
        <v>2011.3400000000001</v>
      </c>
      <c r="J7" s="35">
        <f t="shared" si="1"/>
        <v>1992.2400000000002</v>
      </c>
      <c r="K7" s="35">
        <f t="shared" si="1"/>
        <v>2029.3400000000001</v>
      </c>
      <c r="L7" s="35">
        <f t="shared" si="1"/>
        <v>2046.54</v>
      </c>
      <c r="M7" s="35">
        <f t="shared" si="1"/>
        <v>2031.2400000000002</v>
      </c>
      <c r="N7" s="35">
        <f>N91</f>
        <v>2017.6400000000003</v>
      </c>
      <c r="O7" s="35">
        <f t="shared" si="1"/>
        <v>2040.64</v>
      </c>
      <c r="P7" s="35">
        <f t="shared" si="1"/>
        <v>2109.2400000000002</v>
      </c>
      <c r="Q7" s="35">
        <f t="shared" si="1"/>
        <v>2107.44</v>
      </c>
      <c r="R7" s="35">
        <f t="shared" si="1"/>
        <v>2074.7399999999998</v>
      </c>
      <c r="S7" s="35">
        <f t="shared" si="1"/>
        <v>2090.44</v>
      </c>
      <c r="T7" s="35">
        <f t="shared" si="1"/>
        <v>2072.2399999999998</v>
      </c>
      <c r="U7" s="35">
        <f t="shared" si="1"/>
        <v>2058.84</v>
      </c>
      <c r="V7" s="35">
        <f t="shared" si="1"/>
        <v>2061.7399999999998</v>
      </c>
      <c r="W7" s="35">
        <f t="shared" si="1"/>
        <v>2092.6400000000003</v>
      </c>
      <c r="X7" s="35">
        <f t="shared" si="1"/>
        <v>2136.1400000000003</v>
      </c>
      <c r="Y7" s="35">
        <f t="shared" si="1"/>
        <v>2197.84</v>
      </c>
      <c r="Z7" s="35">
        <f t="shared" si="1"/>
        <v>2259.9400000000005</v>
      </c>
      <c r="AA7" s="35">
        <f t="shared" si="1"/>
        <v>2225.14</v>
      </c>
      <c r="AB7" s="35">
        <f t="shared" si="1"/>
        <v>2111.2399999999998</v>
      </c>
      <c r="AC7" s="35">
        <f t="shared" si="1"/>
        <v>2104.3399999999997</v>
      </c>
      <c r="AD7" s="35">
        <f t="shared" si="1"/>
        <v>2064.44</v>
      </c>
      <c r="AE7" s="35">
        <f t="shared" si="1"/>
        <v>2060.54</v>
      </c>
      <c r="AF7" s="35">
        <f t="shared" si="1"/>
        <v>2034.94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89.8</v>
      </c>
      <c r="N11" s="45">
        <v>89.8</v>
      </c>
      <c r="O11" s="45">
        <v>89.8</v>
      </c>
      <c r="P11" s="45">
        <v>89.8</v>
      </c>
      <c r="Q11" s="45">
        <v>89.8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89.8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5</v>
      </c>
      <c r="N12" s="45">
        <v>5</v>
      </c>
      <c r="O12" s="45">
        <v>8</v>
      </c>
      <c r="P12" s="45">
        <v>8</v>
      </c>
      <c r="Q12" s="45">
        <v>8</v>
      </c>
      <c r="R12" s="45">
        <v>8</v>
      </c>
      <c r="S12" s="45">
        <v>8</v>
      </c>
      <c r="T12" s="45">
        <v>8</v>
      </c>
      <c r="U12" s="45">
        <v>8</v>
      </c>
      <c r="V12" s="45">
        <v>8</v>
      </c>
      <c r="W12" s="45">
        <v>8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8</v>
      </c>
      <c r="AE12" s="45">
        <v>8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25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54.4</v>
      </c>
      <c r="P13" s="45">
        <v>54.4</v>
      </c>
      <c r="Q13" s="45">
        <v>54.4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54.4</v>
      </c>
      <c r="AI13" s="48">
        <f t="shared" si="3"/>
        <v>25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50.3</v>
      </c>
      <c r="N14" s="58">
        <v>50.3</v>
      </c>
      <c r="O14" s="58">
        <v>50.3</v>
      </c>
      <c r="P14" s="58">
        <v>50.3</v>
      </c>
      <c r="Q14" s="58">
        <v>50.3</v>
      </c>
      <c r="R14" s="58">
        <v>50.3</v>
      </c>
      <c r="S14" s="58">
        <v>50.3</v>
      </c>
      <c r="T14" s="58">
        <v>50.3</v>
      </c>
      <c r="U14" s="58">
        <v>50.3</v>
      </c>
      <c r="V14" s="58">
        <v>50.3</v>
      </c>
      <c r="W14" s="58">
        <v>50.3</v>
      </c>
      <c r="X14" s="58">
        <v>50.3</v>
      </c>
      <c r="Y14" s="58">
        <v>50.3</v>
      </c>
      <c r="Z14" s="58">
        <v>50.3</v>
      </c>
      <c r="AA14" s="45">
        <v>50.3</v>
      </c>
      <c r="AB14" s="45">
        <v>50.3</v>
      </c>
      <c r="AC14" s="45">
        <v>50.3</v>
      </c>
      <c r="AD14" s="45">
        <v>50.3</v>
      </c>
      <c r="AE14" s="45">
        <v>50.3</v>
      </c>
      <c r="AF14" s="45">
        <v>50.3</v>
      </c>
      <c r="AG14" s="49">
        <v>50</v>
      </c>
      <c r="AH14" s="47">
        <f t="shared" si="2"/>
        <v>50.6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37.9</v>
      </c>
      <c r="C15" s="45">
        <v>37.9</v>
      </c>
      <c r="D15" s="45">
        <v>37.9</v>
      </c>
      <c r="E15" s="45">
        <v>37.9</v>
      </c>
      <c r="F15" s="45">
        <v>37.9</v>
      </c>
      <c r="G15" s="45">
        <v>37.9</v>
      </c>
      <c r="H15" s="45">
        <v>37.9</v>
      </c>
      <c r="I15" s="45">
        <v>37.9</v>
      </c>
      <c r="J15" s="45">
        <v>37.9</v>
      </c>
      <c r="K15" s="45">
        <v>37.9</v>
      </c>
      <c r="L15" s="45">
        <v>37.9</v>
      </c>
      <c r="M15" s="45">
        <v>38</v>
      </c>
      <c r="N15" s="45">
        <v>38</v>
      </c>
      <c r="O15" s="45">
        <v>38</v>
      </c>
      <c r="P15" s="45">
        <v>38</v>
      </c>
      <c r="Q15" s="45">
        <v>38</v>
      </c>
      <c r="R15" s="45">
        <v>38</v>
      </c>
      <c r="S15" s="45">
        <v>38</v>
      </c>
      <c r="T15" s="45">
        <v>38</v>
      </c>
      <c r="U15" s="45">
        <v>38</v>
      </c>
      <c r="V15" s="45">
        <v>38</v>
      </c>
      <c r="W15" s="45">
        <v>38</v>
      </c>
      <c r="X15" s="45">
        <v>38</v>
      </c>
      <c r="Y15" s="45">
        <v>47</v>
      </c>
      <c r="Z15" s="45">
        <v>47</v>
      </c>
      <c r="AA15" s="45">
        <v>47</v>
      </c>
      <c r="AB15" s="45">
        <v>47</v>
      </c>
      <c r="AC15" s="45">
        <v>47</v>
      </c>
      <c r="AD15" s="45">
        <v>47</v>
      </c>
      <c r="AE15" s="45">
        <v>47</v>
      </c>
      <c r="AF15" s="45">
        <v>47</v>
      </c>
      <c r="AG15" s="49">
        <v>45</v>
      </c>
      <c r="AH15" s="47">
        <f t="shared" si="2"/>
        <v>47</v>
      </c>
      <c r="AI15" s="48">
        <f t="shared" si="3"/>
        <v>37.9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28</v>
      </c>
      <c r="O17" s="45">
        <v>24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29.5</v>
      </c>
      <c r="AC17" s="45">
        <v>29.5</v>
      </c>
      <c r="AD17" s="45">
        <v>29.5</v>
      </c>
      <c r="AE17" s="45">
        <v>29.5</v>
      </c>
      <c r="AF17" s="45">
        <v>28</v>
      </c>
      <c r="AG17" s="49">
        <v>42</v>
      </c>
      <c r="AH17" s="47">
        <f t="shared" si="2"/>
        <v>29.5</v>
      </c>
      <c r="AI17" s="48">
        <f t="shared" si="3"/>
        <v>24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35</v>
      </c>
      <c r="C18" s="45">
        <v>35</v>
      </c>
      <c r="D18" s="45">
        <v>35</v>
      </c>
      <c r="E18" s="45">
        <v>35</v>
      </c>
      <c r="F18" s="45">
        <v>35</v>
      </c>
      <c r="G18" s="45">
        <v>35</v>
      </c>
      <c r="H18" s="45">
        <v>35</v>
      </c>
      <c r="I18" s="45">
        <v>35</v>
      </c>
      <c r="J18" s="45">
        <v>35</v>
      </c>
      <c r="K18" s="45">
        <v>35</v>
      </c>
      <c r="L18" s="45">
        <v>35</v>
      </c>
      <c r="M18" s="45">
        <v>35</v>
      </c>
      <c r="N18" s="45">
        <v>35</v>
      </c>
      <c r="O18" s="45">
        <v>35</v>
      </c>
      <c r="P18" s="45">
        <v>35</v>
      </c>
      <c r="Q18" s="45">
        <v>35</v>
      </c>
      <c r="R18" s="45">
        <v>35</v>
      </c>
      <c r="S18" s="45">
        <v>35</v>
      </c>
      <c r="T18" s="45">
        <v>35</v>
      </c>
      <c r="U18" s="45">
        <v>35</v>
      </c>
      <c r="V18" s="45">
        <v>35</v>
      </c>
      <c r="W18" s="45">
        <v>35</v>
      </c>
      <c r="X18" s="45">
        <v>35</v>
      </c>
      <c r="Y18" s="45">
        <v>35</v>
      </c>
      <c r="Z18" s="45">
        <v>35</v>
      </c>
      <c r="AA18" s="45">
        <v>35</v>
      </c>
      <c r="AB18" s="45">
        <v>35</v>
      </c>
      <c r="AC18" s="45">
        <v>35</v>
      </c>
      <c r="AD18" s="45">
        <v>35</v>
      </c>
      <c r="AE18" s="45">
        <v>35</v>
      </c>
      <c r="AF18" s="45">
        <v>35</v>
      </c>
      <c r="AG18" s="49">
        <v>38.46</v>
      </c>
      <c r="AH18" s="47">
        <f t="shared" si="2"/>
        <v>35</v>
      </c>
      <c r="AI18" s="48">
        <f t="shared" si="3"/>
        <v>35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5</v>
      </c>
      <c r="M20" s="45">
        <v>5</v>
      </c>
      <c r="N20" s="45">
        <v>5</v>
      </c>
      <c r="O20" s="45">
        <v>5</v>
      </c>
      <c r="P20" s="45">
        <v>5</v>
      </c>
      <c r="Q20" s="45">
        <v>5</v>
      </c>
      <c r="R20" s="45">
        <v>5</v>
      </c>
      <c r="S20" s="45">
        <v>5</v>
      </c>
      <c r="T20" s="45">
        <v>5</v>
      </c>
      <c r="U20" s="45">
        <v>10</v>
      </c>
      <c r="V20" s="45">
        <v>10</v>
      </c>
      <c r="W20" s="45">
        <v>15.7</v>
      </c>
      <c r="X20" s="45">
        <v>26</v>
      </c>
      <c r="Y20" s="45">
        <v>29.8</v>
      </c>
      <c r="Z20" s="45">
        <v>29.8</v>
      </c>
      <c r="AA20" s="45">
        <v>29.8</v>
      </c>
      <c r="AB20" s="45">
        <v>29.8</v>
      </c>
      <c r="AC20" s="45">
        <v>29.8</v>
      </c>
      <c r="AD20" s="45">
        <v>15</v>
      </c>
      <c r="AE20" s="45">
        <v>5</v>
      </c>
      <c r="AF20" s="45">
        <v>0</v>
      </c>
      <c r="AG20" s="51">
        <v>30</v>
      </c>
      <c r="AH20" s="47">
        <f t="shared" si="2"/>
        <v>29.8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24</v>
      </c>
      <c r="C21" s="45">
        <v>24</v>
      </c>
      <c r="D21" s="45">
        <v>24</v>
      </c>
      <c r="E21" s="45">
        <v>24</v>
      </c>
      <c r="F21" s="45">
        <v>24</v>
      </c>
      <c r="G21" s="45">
        <v>24</v>
      </c>
      <c r="H21" s="45">
        <v>24</v>
      </c>
      <c r="I21" s="45">
        <v>24</v>
      </c>
      <c r="J21" s="45">
        <v>24</v>
      </c>
      <c r="K21" s="45">
        <v>24</v>
      </c>
      <c r="L21" s="45">
        <v>24</v>
      </c>
      <c r="M21" s="45">
        <v>24</v>
      </c>
      <c r="N21" s="45">
        <v>24</v>
      </c>
      <c r="O21" s="45">
        <v>24</v>
      </c>
      <c r="P21" s="45">
        <v>24</v>
      </c>
      <c r="Q21" s="45">
        <v>24</v>
      </c>
      <c r="R21" s="45">
        <v>22</v>
      </c>
      <c r="S21" s="45">
        <v>22</v>
      </c>
      <c r="T21" s="45">
        <v>22</v>
      </c>
      <c r="U21" s="45">
        <v>22</v>
      </c>
      <c r="V21" s="45">
        <v>22</v>
      </c>
      <c r="W21" s="45">
        <v>22</v>
      </c>
      <c r="X21" s="45">
        <v>22</v>
      </c>
      <c r="Y21" s="45">
        <v>22.2</v>
      </c>
      <c r="Z21" s="45">
        <v>33.299999999999997</v>
      </c>
      <c r="AA21" s="45">
        <v>33.299999999999997</v>
      </c>
      <c r="AB21" s="45">
        <v>24.9</v>
      </c>
      <c r="AC21" s="45">
        <v>24.9</v>
      </c>
      <c r="AD21" s="45">
        <v>24.9</v>
      </c>
      <c r="AE21" s="45">
        <v>24.9</v>
      </c>
      <c r="AF21" s="45">
        <v>24.9</v>
      </c>
      <c r="AG21" s="49">
        <v>24.2</v>
      </c>
      <c r="AH21" s="47">
        <f t="shared" si="2"/>
        <v>33.299999999999997</v>
      </c>
      <c r="AI21" s="48">
        <f t="shared" si="3"/>
        <v>22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25.5</v>
      </c>
      <c r="C22" s="45">
        <v>25.5</v>
      </c>
      <c r="D22" s="45">
        <v>25.5</v>
      </c>
      <c r="E22" s="45">
        <v>25.5</v>
      </c>
      <c r="F22" s="45">
        <v>25.5</v>
      </c>
      <c r="G22" s="45">
        <v>25.5</v>
      </c>
      <c r="H22" s="45">
        <v>25.5</v>
      </c>
      <c r="I22" s="45">
        <v>25.5</v>
      </c>
      <c r="J22" s="45">
        <v>25.5</v>
      </c>
      <c r="K22" s="45">
        <v>25.5</v>
      </c>
      <c r="L22" s="45">
        <v>25.5</v>
      </c>
      <c r="M22" s="45">
        <v>25.5</v>
      </c>
      <c r="N22" s="45">
        <v>25.5</v>
      </c>
      <c r="O22" s="45">
        <v>25.5</v>
      </c>
      <c r="P22" s="45">
        <v>25.5</v>
      </c>
      <c r="Q22" s="45">
        <v>25.5</v>
      </c>
      <c r="R22" s="45">
        <v>24.4</v>
      </c>
      <c r="S22" s="45">
        <v>24.4</v>
      </c>
      <c r="T22" s="45">
        <v>24.4</v>
      </c>
      <c r="U22" s="45">
        <v>24.4</v>
      </c>
      <c r="V22" s="45">
        <v>24.4</v>
      </c>
      <c r="W22" s="45">
        <v>24.4</v>
      </c>
      <c r="X22" s="45">
        <v>24.4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24.4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5</v>
      </c>
      <c r="M23" s="45">
        <v>5</v>
      </c>
      <c r="N23" s="45">
        <v>5</v>
      </c>
      <c r="O23" s="45">
        <v>5</v>
      </c>
      <c r="P23" s="45">
        <v>5</v>
      </c>
      <c r="Q23" s="45">
        <v>5</v>
      </c>
      <c r="R23" s="45">
        <v>5</v>
      </c>
      <c r="S23" s="45">
        <v>5</v>
      </c>
      <c r="T23" s="45">
        <v>5</v>
      </c>
      <c r="U23" s="45">
        <v>5</v>
      </c>
      <c r="V23" s="45">
        <v>5</v>
      </c>
      <c r="W23" s="45">
        <v>5</v>
      </c>
      <c r="X23" s="45">
        <v>20</v>
      </c>
      <c r="Y23" s="45">
        <v>20</v>
      </c>
      <c r="Z23" s="45">
        <v>20</v>
      </c>
      <c r="AA23" s="45">
        <v>20</v>
      </c>
      <c r="AB23" s="45">
        <v>13.5</v>
      </c>
      <c r="AC23" s="45">
        <v>9</v>
      </c>
      <c r="AD23" s="45">
        <v>6</v>
      </c>
      <c r="AE23" s="45">
        <v>6</v>
      </c>
      <c r="AF23" s="45">
        <v>0</v>
      </c>
      <c r="AG23" s="51">
        <v>30</v>
      </c>
      <c r="AH23" s="47">
        <f t="shared" si="2"/>
        <v>20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25.1</v>
      </c>
      <c r="R24" s="45">
        <v>25</v>
      </c>
      <c r="S24" s="45">
        <v>25</v>
      </c>
      <c r="T24" s="45">
        <v>25</v>
      </c>
      <c r="U24" s="45">
        <v>26.1</v>
      </c>
      <c r="V24" s="45">
        <v>26.1</v>
      </c>
      <c r="W24" s="45">
        <v>26.1</v>
      </c>
      <c r="X24" s="45">
        <v>26.1</v>
      </c>
      <c r="Y24" s="45">
        <v>26.1</v>
      </c>
      <c r="Z24" s="45">
        <v>26.1</v>
      </c>
      <c r="AA24" s="45">
        <v>26.1</v>
      </c>
      <c r="AB24" s="45">
        <v>24.6</v>
      </c>
      <c r="AC24" s="45">
        <v>24.6</v>
      </c>
      <c r="AD24" s="45">
        <v>24.6</v>
      </c>
      <c r="AE24" s="45">
        <v>24.6</v>
      </c>
      <c r="AF24" s="45">
        <v>24.6</v>
      </c>
      <c r="AG24" s="49">
        <v>25</v>
      </c>
      <c r="AH24" s="47">
        <f t="shared" si="2"/>
        <v>26.1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4</v>
      </c>
      <c r="N27" s="45">
        <v>4</v>
      </c>
      <c r="O27" s="45">
        <v>4</v>
      </c>
      <c r="P27" s="45">
        <v>4</v>
      </c>
      <c r="Q27" s="45">
        <v>4</v>
      </c>
      <c r="R27" s="45">
        <v>4</v>
      </c>
      <c r="S27" s="45">
        <v>4</v>
      </c>
      <c r="T27" s="45">
        <v>4</v>
      </c>
      <c r="U27" s="45">
        <v>4</v>
      </c>
      <c r="V27" s="45">
        <v>4</v>
      </c>
      <c r="W27" s="45">
        <v>4</v>
      </c>
      <c r="X27" s="45">
        <v>20</v>
      </c>
      <c r="Y27" s="45">
        <v>20</v>
      </c>
      <c r="Z27" s="45">
        <v>20</v>
      </c>
      <c r="AA27" s="45">
        <v>20</v>
      </c>
      <c r="AB27" s="45">
        <v>12.5</v>
      </c>
      <c r="AC27" s="45">
        <v>8</v>
      </c>
      <c r="AD27" s="45">
        <v>6</v>
      </c>
      <c r="AE27" s="45">
        <v>6</v>
      </c>
      <c r="AF27" s="45">
        <v>0</v>
      </c>
      <c r="AG27" s="49">
        <v>25</v>
      </c>
      <c r="AH27" s="47">
        <f t="shared" si="2"/>
        <v>20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5</v>
      </c>
      <c r="Z33" s="45">
        <v>5</v>
      </c>
      <c r="AA33" s="45">
        <v>5</v>
      </c>
      <c r="AB33" s="45">
        <v>5</v>
      </c>
      <c r="AC33" s="45">
        <v>5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14</v>
      </c>
      <c r="C35" s="45">
        <v>14</v>
      </c>
      <c r="D35" s="45">
        <v>14</v>
      </c>
      <c r="E35" s="45">
        <v>14</v>
      </c>
      <c r="F35" s="45">
        <v>14</v>
      </c>
      <c r="G35" s="45">
        <v>14</v>
      </c>
      <c r="H35" s="45">
        <v>14</v>
      </c>
      <c r="I35" s="45">
        <v>14</v>
      </c>
      <c r="J35" s="45">
        <v>14</v>
      </c>
      <c r="K35" s="45">
        <v>14</v>
      </c>
      <c r="L35" s="45">
        <v>14</v>
      </c>
      <c r="M35" s="45">
        <v>14</v>
      </c>
      <c r="N35" s="45">
        <v>14</v>
      </c>
      <c r="O35" s="45">
        <v>14</v>
      </c>
      <c r="P35" s="45">
        <v>14</v>
      </c>
      <c r="Q35" s="45">
        <v>14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14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2</v>
      </c>
      <c r="M39" s="45">
        <v>2</v>
      </c>
      <c r="N39" s="45">
        <v>2</v>
      </c>
      <c r="O39" s="45">
        <v>2</v>
      </c>
      <c r="P39" s="45">
        <v>2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2</v>
      </c>
      <c r="X39" s="45">
        <v>6</v>
      </c>
      <c r="Y39" s="45">
        <v>6</v>
      </c>
      <c r="Z39" s="45">
        <v>6</v>
      </c>
      <c r="AA39" s="45">
        <v>6</v>
      </c>
      <c r="AB39" s="45">
        <v>6</v>
      </c>
      <c r="AC39" s="45">
        <v>4</v>
      </c>
      <c r="AD39" s="45">
        <v>2</v>
      </c>
      <c r="AE39" s="45">
        <v>2</v>
      </c>
      <c r="AF39" s="45">
        <v>2</v>
      </c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8</v>
      </c>
      <c r="N40" s="45">
        <v>8</v>
      </c>
      <c r="O40" s="45">
        <v>8</v>
      </c>
      <c r="P40" s="45">
        <v>8</v>
      </c>
      <c r="Q40" s="45">
        <v>8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8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8</v>
      </c>
      <c r="AI40" s="48">
        <f t="shared" si="3"/>
        <v>8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7</v>
      </c>
      <c r="C41" s="45">
        <v>7</v>
      </c>
      <c r="D41" s="45">
        <v>7</v>
      </c>
      <c r="E41" s="45">
        <v>7</v>
      </c>
      <c r="F41" s="45">
        <v>7</v>
      </c>
      <c r="G41" s="45">
        <v>7</v>
      </c>
      <c r="H41" s="45">
        <v>7</v>
      </c>
      <c r="I41" s="45">
        <v>7</v>
      </c>
      <c r="J41" s="45">
        <v>7</v>
      </c>
      <c r="K41" s="45">
        <v>7</v>
      </c>
      <c r="L41" s="45">
        <v>7</v>
      </c>
      <c r="M41" s="45">
        <v>0</v>
      </c>
      <c r="N41" s="45">
        <v>4</v>
      </c>
      <c r="O41" s="45">
        <v>4</v>
      </c>
      <c r="P41" s="45">
        <v>4</v>
      </c>
      <c r="Q41" s="45">
        <v>4</v>
      </c>
      <c r="R41" s="45">
        <v>4</v>
      </c>
      <c r="S41" s="45">
        <v>4</v>
      </c>
      <c r="T41" s="45">
        <v>4</v>
      </c>
      <c r="U41" s="45">
        <v>4</v>
      </c>
      <c r="V41" s="45">
        <v>4</v>
      </c>
      <c r="W41" s="45">
        <v>4</v>
      </c>
      <c r="X41" s="45">
        <v>4</v>
      </c>
      <c r="Y41" s="45">
        <v>4</v>
      </c>
      <c r="Z41" s="45">
        <v>4</v>
      </c>
      <c r="AA41" s="45">
        <v>4</v>
      </c>
      <c r="AB41" s="45">
        <v>4</v>
      </c>
      <c r="AC41" s="45">
        <v>4</v>
      </c>
      <c r="AD41" s="45">
        <v>4</v>
      </c>
      <c r="AE41" s="45">
        <v>4</v>
      </c>
      <c r="AF41" s="45">
        <v>0</v>
      </c>
      <c r="AG41" s="49">
        <v>12</v>
      </c>
      <c r="AH41" s="47">
        <f t="shared" si="2"/>
        <v>7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51">
        <v>11.88</v>
      </c>
      <c r="AH43" s="47">
        <f t="shared" si="2"/>
        <v>11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120</v>
      </c>
      <c r="C49" s="56">
        <v>120</v>
      </c>
      <c r="D49" s="56">
        <v>120</v>
      </c>
      <c r="E49" s="56">
        <v>100</v>
      </c>
      <c r="F49" s="56">
        <v>126</v>
      </c>
      <c r="G49" s="56">
        <v>115</v>
      </c>
      <c r="H49" s="56">
        <v>110.7</v>
      </c>
      <c r="I49" s="56">
        <v>107</v>
      </c>
      <c r="J49" s="56">
        <v>111</v>
      </c>
      <c r="K49" s="56">
        <v>123</v>
      </c>
      <c r="L49" s="56">
        <v>116</v>
      </c>
      <c r="M49" s="58">
        <f>87.4+34.7</f>
        <v>122.10000000000001</v>
      </c>
      <c r="N49" s="58">
        <f>88.6+35.2</f>
        <v>123.8</v>
      </c>
      <c r="O49" s="58">
        <f>88.8+35.3</f>
        <v>124.1</v>
      </c>
      <c r="P49" s="58">
        <f>91.5+36.4</f>
        <v>127.9</v>
      </c>
      <c r="Q49" s="58">
        <f>89.5+35.8</f>
        <v>125.3</v>
      </c>
      <c r="R49" s="58">
        <f t="shared" ref="R49:AF49" si="4">92+36.6</f>
        <v>128.6</v>
      </c>
      <c r="S49" s="58">
        <f t="shared" si="4"/>
        <v>128.6</v>
      </c>
      <c r="T49" s="58">
        <f t="shared" si="4"/>
        <v>128.6</v>
      </c>
      <c r="U49" s="58">
        <f t="shared" si="4"/>
        <v>128.6</v>
      </c>
      <c r="V49" s="58">
        <f t="shared" si="4"/>
        <v>128.6</v>
      </c>
      <c r="W49" s="58">
        <f t="shared" si="4"/>
        <v>128.6</v>
      </c>
      <c r="X49" s="58">
        <f t="shared" si="4"/>
        <v>128.6</v>
      </c>
      <c r="Y49" s="58">
        <f t="shared" si="4"/>
        <v>128.6</v>
      </c>
      <c r="Z49" s="58">
        <f t="shared" si="4"/>
        <v>128.6</v>
      </c>
      <c r="AA49" s="56">
        <f t="shared" si="4"/>
        <v>128.6</v>
      </c>
      <c r="AB49" s="56">
        <f t="shared" si="4"/>
        <v>128.6</v>
      </c>
      <c r="AC49" s="56">
        <f t="shared" si="4"/>
        <v>128.6</v>
      </c>
      <c r="AD49" s="56">
        <f t="shared" si="4"/>
        <v>128.6</v>
      </c>
      <c r="AE49" s="56">
        <f t="shared" si="4"/>
        <v>128.6</v>
      </c>
      <c r="AF49" s="56">
        <f t="shared" si="4"/>
        <v>128.6</v>
      </c>
      <c r="AG49" s="54">
        <v>240</v>
      </c>
      <c r="AH49" s="47">
        <f t="shared" si="2"/>
        <v>128.6</v>
      </c>
      <c r="AI49" s="48">
        <f t="shared" si="3"/>
        <v>100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1093.5</v>
      </c>
      <c r="C50" s="60">
        <f t="shared" si="5"/>
        <v>1093.5</v>
      </c>
      <c r="D50" s="60">
        <f t="shared" si="5"/>
        <v>1093.5</v>
      </c>
      <c r="E50" s="60">
        <f t="shared" si="5"/>
        <v>1093.5</v>
      </c>
      <c r="F50" s="60">
        <f t="shared" si="5"/>
        <v>1064.2</v>
      </c>
      <c r="G50" s="60">
        <f t="shared" si="5"/>
        <v>1093.5</v>
      </c>
      <c r="H50" s="60">
        <f t="shared" si="5"/>
        <v>1093.5</v>
      </c>
      <c r="I50" s="60">
        <f t="shared" si="5"/>
        <v>1093.5</v>
      </c>
      <c r="J50" s="60">
        <f t="shared" si="5"/>
        <v>1093.5</v>
      </c>
      <c r="K50" s="60">
        <f t="shared" si="5"/>
        <v>1093.5</v>
      </c>
      <c r="L50" s="60">
        <f t="shared" si="5"/>
        <v>1105.5</v>
      </c>
      <c r="M50" s="60">
        <f t="shared" si="5"/>
        <v>1095.9000000000001</v>
      </c>
      <c r="N50" s="60">
        <f t="shared" si="5"/>
        <v>1107.9000000000001</v>
      </c>
      <c r="O50" s="60">
        <f t="shared" si="5"/>
        <v>1107</v>
      </c>
      <c r="P50" s="60">
        <f t="shared" si="5"/>
        <v>1111</v>
      </c>
      <c r="Q50" s="60">
        <f t="shared" si="5"/>
        <v>1111.5999999999999</v>
      </c>
      <c r="R50" s="60">
        <f t="shared" ref="R50:S50" si="6">SUM(R11:R48)</f>
        <v>1094.5</v>
      </c>
      <c r="S50" s="60">
        <f t="shared" si="6"/>
        <v>1094.5</v>
      </c>
      <c r="T50" s="60">
        <f t="shared" ref="T50:U50" si="7">SUM(T11:T48)</f>
        <v>1094.5</v>
      </c>
      <c r="U50" s="60">
        <f t="shared" si="7"/>
        <v>1101.5999999999999</v>
      </c>
      <c r="V50" s="60">
        <f t="shared" ref="V50:W50" si="8">SUM(V11:V48)</f>
        <v>1101.5999999999999</v>
      </c>
      <c r="W50" s="60">
        <f t="shared" si="8"/>
        <v>1107.3000000000002</v>
      </c>
      <c r="X50" s="60">
        <f t="shared" ref="X50:Y50" si="9">SUM(X11:X48)</f>
        <v>1157.5999999999999</v>
      </c>
      <c r="Y50" s="60">
        <f t="shared" si="9"/>
        <v>1174.8000000000002</v>
      </c>
      <c r="Z50" s="60">
        <f t="shared" ref="Z50:AA50" si="10">SUM(Z11:Z48)</f>
        <v>1185.9000000000001</v>
      </c>
      <c r="AA50" s="60">
        <f t="shared" si="10"/>
        <v>1185.9000000000001</v>
      </c>
      <c r="AB50" s="60">
        <f t="shared" ref="AB50" si="11">SUM(AB11:AB48)</f>
        <v>1162.5999999999999</v>
      </c>
      <c r="AC50" s="60">
        <f t="shared" si="5"/>
        <v>1151.5999999999999</v>
      </c>
      <c r="AD50" s="60">
        <f t="shared" si="5"/>
        <v>1115.8000000000002</v>
      </c>
      <c r="AE50" s="60">
        <f t="shared" si="5"/>
        <v>1105.8000000000002</v>
      </c>
      <c r="AF50" s="60">
        <f t="shared" si="5"/>
        <v>1075.3000000000002</v>
      </c>
      <c r="AG50" s="61">
        <f>SUM(AG13:AG48)</f>
        <v>922.14</v>
      </c>
      <c r="AH50" s="47">
        <f t="shared" si="2"/>
        <v>1185.9000000000001</v>
      </c>
      <c r="AI50" s="48">
        <f t="shared" si="3"/>
        <v>1064.2</v>
      </c>
      <c r="AK50" s="50"/>
    </row>
    <row r="51" spans="1:41" x14ac:dyDescent="0.25">
      <c r="A51" s="62" t="s">
        <v>59</v>
      </c>
      <c r="B51" s="45">
        <v>420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420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50</v>
      </c>
      <c r="N52" s="64">
        <v>48</v>
      </c>
      <c r="O52" s="64">
        <v>48</v>
      </c>
      <c r="P52" s="64">
        <v>48</v>
      </c>
      <c r="Q52" s="64">
        <v>48</v>
      </c>
      <c r="R52" s="64">
        <v>48</v>
      </c>
      <c r="S52" s="64">
        <v>48</v>
      </c>
      <c r="T52" s="64">
        <v>48</v>
      </c>
      <c r="U52" s="64">
        <v>48</v>
      </c>
      <c r="V52" s="64">
        <v>48</v>
      </c>
      <c r="W52" s="64">
        <v>48</v>
      </c>
      <c r="X52" s="64">
        <v>48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48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12">SUM(B51:B53)</f>
        <v>492.4</v>
      </c>
      <c r="C54" s="60">
        <f t="shared" si="12"/>
        <v>528.4</v>
      </c>
      <c r="D54" s="60">
        <f t="shared" si="12"/>
        <v>528.4</v>
      </c>
      <c r="E54" s="60">
        <f t="shared" si="12"/>
        <v>528.4</v>
      </c>
      <c r="F54" s="60">
        <f t="shared" si="12"/>
        <v>528.4</v>
      </c>
      <c r="G54" s="60">
        <f t="shared" si="12"/>
        <v>528.4</v>
      </c>
      <c r="H54" s="60">
        <f t="shared" si="12"/>
        <v>528.4</v>
      </c>
      <c r="I54" s="60">
        <f t="shared" si="12"/>
        <v>528.4</v>
      </c>
      <c r="J54" s="60">
        <f t="shared" si="12"/>
        <v>528.4</v>
      </c>
      <c r="K54" s="60">
        <f t="shared" si="12"/>
        <v>528.4</v>
      </c>
      <c r="L54" s="60">
        <f t="shared" si="12"/>
        <v>528.4</v>
      </c>
      <c r="M54" s="60">
        <f t="shared" si="12"/>
        <v>528.4</v>
      </c>
      <c r="N54" s="60">
        <f t="shared" si="12"/>
        <v>526.4</v>
      </c>
      <c r="O54" s="60">
        <f t="shared" si="12"/>
        <v>526.4</v>
      </c>
      <c r="P54" s="60">
        <f t="shared" si="12"/>
        <v>526.4</v>
      </c>
      <c r="Q54" s="60">
        <f t="shared" si="12"/>
        <v>526.4</v>
      </c>
      <c r="R54" s="60">
        <f t="shared" ref="R54:S54" si="13">SUM(R51:R53)</f>
        <v>526.5</v>
      </c>
      <c r="S54" s="60">
        <f t="shared" si="13"/>
        <v>526.5</v>
      </c>
      <c r="T54" s="60">
        <f t="shared" ref="T54:U54" si="14">SUM(T51:T53)</f>
        <v>526.5</v>
      </c>
      <c r="U54" s="60">
        <f t="shared" si="14"/>
        <v>526.5</v>
      </c>
      <c r="V54" s="60">
        <f t="shared" ref="V54:W54" si="15">SUM(V51:V53)</f>
        <v>526.5</v>
      </c>
      <c r="W54" s="60">
        <f t="shared" si="15"/>
        <v>526.5</v>
      </c>
      <c r="X54" s="60">
        <f t="shared" ref="X54:Y54" si="16">SUM(X51:X53)</f>
        <v>526.5</v>
      </c>
      <c r="Y54" s="60">
        <f t="shared" si="16"/>
        <v>538.5</v>
      </c>
      <c r="Z54" s="60">
        <f t="shared" ref="Z54:AA54" si="17">SUM(Z51:Z53)</f>
        <v>538.5</v>
      </c>
      <c r="AA54" s="60">
        <f t="shared" si="17"/>
        <v>538.5</v>
      </c>
      <c r="AB54" s="60">
        <f t="shared" si="12"/>
        <v>538.5</v>
      </c>
      <c r="AC54" s="60">
        <f t="shared" si="12"/>
        <v>538.5</v>
      </c>
      <c r="AD54" s="60">
        <f t="shared" si="12"/>
        <v>538.5</v>
      </c>
      <c r="AE54" s="60">
        <f t="shared" si="12"/>
        <v>538.5</v>
      </c>
      <c r="AF54" s="60">
        <f t="shared" si="12"/>
        <v>538.5</v>
      </c>
      <c r="AG54" s="61">
        <f t="shared" si="12"/>
        <v>538.1</v>
      </c>
      <c r="AH54" s="47">
        <f t="shared" si="2"/>
        <v>538.5</v>
      </c>
      <c r="AI54" s="48">
        <f t="shared" si="3"/>
        <v>492.4</v>
      </c>
      <c r="AK54" s="50"/>
    </row>
    <row r="55" spans="1:41" x14ac:dyDescent="0.25">
      <c r="A55" s="44" t="s">
        <v>63</v>
      </c>
      <c r="B55" s="45">
        <v>121.3</v>
      </c>
      <c r="C55" s="45">
        <v>121.3</v>
      </c>
      <c r="D55" s="45">
        <v>54.7</v>
      </c>
      <c r="E55" s="45">
        <v>121.3</v>
      </c>
      <c r="F55" s="45">
        <v>121.3</v>
      </c>
      <c r="G55" s="45">
        <v>112</v>
      </c>
      <c r="H55" s="45">
        <v>112.4</v>
      </c>
      <c r="I55" s="45">
        <v>133.6</v>
      </c>
      <c r="J55" s="45">
        <v>120</v>
      </c>
      <c r="K55" s="45">
        <v>136.4</v>
      </c>
      <c r="L55" s="45">
        <v>136.80000000000001</v>
      </c>
      <c r="M55" s="45">
        <v>135.5</v>
      </c>
      <c r="N55" s="45">
        <v>135.5</v>
      </c>
      <c r="O55" s="45">
        <v>135.5</v>
      </c>
      <c r="P55" s="45">
        <v>126.5</v>
      </c>
      <c r="Q55" s="45">
        <v>121.2</v>
      </c>
      <c r="R55" s="45">
        <v>121.5</v>
      </c>
      <c r="S55" s="45">
        <v>131.6</v>
      </c>
      <c r="T55" s="45">
        <v>131.6</v>
      </c>
      <c r="U55" s="45">
        <v>121.2</v>
      </c>
      <c r="V55" s="45">
        <v>121.2</v>
      </c>
      <c r="W55" s="45">
        <v>121.2</v>
      </c>
      <c r="X55" s="45">
        <v>131.4</v>
      </c>
      <c r="Y55" s="45">
        <v>131.4</v>
      </c>
      <c r="Z55" s="45">
        <v>131.4</v>
      </c>
      <c r="AA55" s="45">
        <v>134.80000000000001</v>
      </c>
      <c r="AB55" s="45">
        <v>134.80000000000001</v>
      </c>
      <c r="AC55" s="45">
        <v>134.80000000000001</v>
      </c>
      <c r="AD55" s="45">
        <v>134.80000000000001</v>
      </c>
      <c r="AE55" s="45">
        <v>134.80000000000001</v>
      </c>
      <c r="AF55" s="45">
        <v>134.80000000000001</v>
      </c>
      <c r="AG55" s="51">
        <v>144</v>
      </c>
      <c r="AH55" s="47">
        <f t="shared" si="2"/>
        <v>136.80000000000001</v>
      </c>
      <c r="AI55" s="48">
        <f t="shared" si="3"/>
        <v>54.7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60</v>
      </c>
      <c r="E56" s="64">
        <v>60</v>
      </c>
      <c r="F56" s="64">
        <v>60</v>
      </c>
      <c r="G56" s="64">
        <v>51.6</v>
      </c>
      <c r="H56" s="64">
        <v>52.5</v>
      </c>
      <c r="I56" s="64">
        <v>51.9</v>
      </c>
      <c r="J56" s="64">
        <v>59.2</v>
      </c>
      <c r="K56" s="64">
        <v>69.400000000000006</v>
      </c>
      <c r="L56" s="64">
        <v>69.7</v>
      </c>
      <c r="M56" s="64">
        <v>60.1</v>
      </c>
      <c r="N56" s="64">
        <v>50</v>
      </c>
      <c r="O56" s="64">
        <v>49.3</v>
      </c>
      <c r="P56" s="64">
        <v>70</v>
      </c>
      <c r="Q56" s="64">
        <v>59.8</v>
      </c>
      <c r="R56" s="64">
        <v>58.6</v>
      </c>
      <c r="S56" s="64">
        <v>61.9</v>
      </c>
      <c r="T56" s="64">
        <v>61.9</v>
      </c>
      <c r="U56" s="64">
        <v>58</v>
      </c>
      <c r="V56" s="64">
        <v>58</v>
      </c>
      <c r="W56" s="64">
        <v>70.7</v>
      </c>
      <c r="X56" s="64">
        <v>70.7</v>
      </c>
      <c r="Y56" s="64">
        <v>70.7</v>
      </c>
      <c r="Z56" s="64">
        <v>70.7</v>
      </c>
      <c r="AA56" s="45">
        <v>70.7</v>
      </c>
      <c r="AB56" s="45">
        <v>70.7</v>
      </c>
      <c r="AC56" s="45">
        <v>70.7</v>
      </c>
      <c r="AD56" s="45">
        <v>70.7</v>
      </c>
      <c r="AE56" s="45">
        <v>70.7</v>
      </c>
      <c r="AF56" s="45">
        <v>70.7</v>
      </c>
      <c r="AG56" s="54">
        <v>70</v>
      </c>
      <c r="AH56" s="47">
        <f t="shared" si="2"/>
        <v>70.7</v>
      </c>
      <c r="AI56" s="48">
        <f t="shared" si="3"/>
        <v>49.3</v>
      </c>
      <c r="AK56" s="50"/>
    </row>
    <row r="57" spans="1:41" x14ac:dyDescent="0.25">
      <c r="A57" s="53" t="s">
        <v>65</v>
      </c>
      <c r="B57" s="64">
        <v>64</v>
      </c>
      <c r="C57" s="64">
        <v>62.7</v>
      </c>
      <c r="D57" s="64">
        <v>65.599999999999994</v>
      </c>
      <c r="E57" s="64">
        <v>54.7</v>
      </c>
      <c r="F57" s="64">
        <v>65.599999999999994</v>
      </c>
      <c r="G57" s="64">
        <v>60</v>
      </c>
      <c r="H57" s="64">
        <v>61.4</v>
      </c>
      <c r="I57" s="64">
        <v>61.5</v>
      </c>
      <c r="J57" s="64">
        <v>59.9</v>
      </c>
      <c r="K57" s="64">
        <v>63.2</v>
      </c>
      <c r="L57" s="64">
        <v>64.400000000000006</v>
      </c>
      <c r="M57" s="64">
        <v>61.9</v>
      </c>
      <c r="N57" s="64">
        <v>61.9</v>
      </c>
      <c r="O57" s="64">
        <v>62.4</v>
      </c>
      <c r="P57" s="64">
        <v>64</v>
      </c>
      <c r="Q57" s="64">
        <v>65.3</v>
      </c>
      <c r="R57" s="64">
        <v>60</v>
      </c>
      <c r="S57" s="64">
        <v>59.7</v>
      </c>
      <c r="T57" s="64">
        <v>50</v>
      </c>
      <c r="U57" s="64">
        <v>53.9</v>
      </c>
      <c r="V57" s="64">
        <v>53.9</v>
      </c>
      <c r="W57" s="64">
        <v>65.099999999999994</v>
      </c>
      <c r="X57" s="64">
        <v>63.2</v>
      </c>
      <c r="Y57" s="64">
        <v>65.2</v>
      </c>
      <c r="Z57" s="64">
        <v>65.2</v>
      </c>
      <c r="AA57" s="45">
        <v>65.2</v>
      </c>
      <c r="AB57" s="45">
        <v>65.2</v>
      </c>
      <c r="AC57" s="45">
        <v>65.2</v>
      </c>
      <c r="AD57" s="45">
        <v>65.2</v>
      </c>
      <c r="AE57" s="45">
        <v>65.2</v>
      </c>
      <c r="AF57" s="45">
        <v>65.2</v>
      </c>
      <c r="AG57" s="54">
        <v>69</v>
      </c>
      <c r="AH57" s="47">
        <f t="shared" si="2"/>
        <v>65.599999999999994</v>
      </c>
      <c r="AI57" s="48">
        <f t="shared" si="3"/>
        <v>50</v>
      </c>
      <c r="AK57" s="50"/>
    </row>
    <row r="58" spans="1:41" x14ac:dyDescent="0.25">
      <c r="A58" s="53" t="s">
        <v>66</v>
      </c>
      <c r="B58" s="64">
        <v>41.8</v>
      </c>
      <c r="C58" s="64">
        <v>51.9</v>
      </c>
      <c r="D58" s="64">
        <v>51.9</v>
      </c>
      <c r="E58" s="64">
        <v>51.9</v>
      </c>
      <c r="F58" s="64">
        <v>51.9</v>
      </c>
      <c r="G58" s="56">
        <v>62</v>
      </c>
      <c r="H58" s="56">
        <v>61.4</v>
      </c>
      <c r="I58" s="56">
        <v>61.4</v>
      </c>
      <c r="J58" s="56">
        <v>50.2</v>
      </c>
      <c r="K58" s="56">
        <v>57.4</v>
      </c>
      <c r="L58" s="56">
        <v>60.7</v>
      </c>
      <c r="M58" s="64">
        <v>60.9</v>
      </c>
      <c r="N58" s="64">
        <v>40</v>
      </c>
      <c r="O58" s="64">
        <v>58.2</v>
      </c>
      <c r="P58" s="64">
        <v>58.2</v>
      </c>
      <c r="Q58" s="64">
        <v>60</v>
      </c>
      <c r="R58" s="64">
        <v>51.4</v>
      </c>
      <c r="S58" s="64">
        <v>52.6</v>
      </c>
      <c r="T58" s="64">
        <v>51.6</v>
      </c>
      <c r="U58" s="64">
        <v>51.4</v>
      </c>
      <c r="V58" s="64">
        <v>51.4</v>
      </c>
      <c r="W58" s="64">
        <v>57.1</v>
      </c>
      <c r="X58" s="64">
        <v>60.4</v>
      </c>
      <c r="Y58" s="64">
        <v>60.4</v>
      </c>
      <c r="Z58" s="64">
        <v>60.4</v>
      </c>
      <c r="AA58" s="45">
        <v>60.4</v>
      </c>
      <c r="AB58" s="45">
        <v>60.4</v>
      </c>
      <c r="AC58" s="45">
        <v>60.4</v>
      </c>
      <c r="AD58" s="45">
        <v>60.4</v>
      </c>
      <c r="AE58" s="45">
        <v>60.4</v>
      </c>
      <c r="AF58" s="45">
        <v>60.4</v>
      </c>
      <c r="AG58" s="54">
        <v>60</v>
      </c>
      <c r="AH58" s="47">
        <f t="shared" si="2"/>
        <v>62</v>
      </c>
      <c r="AI58" s="48">
        <f t="shared" si="3"/>
        <v>40</v>
      </c>
      <c r="AK58" s="50"/>
    </row>
    <row r="59" spans="1:41" x14ac:dyDescent="0.25">
      <c r="A59" s="53" t="s">
        <v>67</v>
      </c>
      <c r="B59" s="64">
        <v>26</v>
      </c>
      <c r="C59" s="64">
        <v>26</v>
      </c>
      <c r="D59" s="64">
        <v>26</v>
      </c>
      <c r="E59" s="64">
        <v>26</v>
      </c>
      <c r="F59" s="64">
        <v>26</v>
      </c>
      <c r="G59" s="64">
        <v>26</v>
      </c>
      <c r="H59" s="56">
        <v>26</v>
      </c>
      <c r="I59" s="56">
        <v>29</v>
      </c>
      <c r="J59" s="56">
        <v>29</v>
      </c>
      <c r="K59" s="56">
        <v>29</v>
      </c>
      <c r="L59" s="56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0</v>
      </c>
      <c r="Y59" s="64">
        <v>0</v>
      </c>
      <c r="Z59" s="64">
        <v>15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3.7</v>
      </c>
      <c r="N60" s="64">
        <v>11.1</v>
      </c>
      <c r="O60" s="64">
        <v>17</v>
      </c>
      <c r="P60" s="64">
        <v>18.3</v>
      </c>
      <c r="Q60" s="64">
        <v>18.3</v>
      </c>
      <c r="R60" s="64">
        <v>16.5</v>
      </c>
      <c r="S60" s="64">
        <v>16.899999999999999</v>
      </c>
      <c r="T60" s="64">
        <v>13.3</v>
      </c>
      <c r="U60" s="64">
        <v>5.2</v>
      </c>
      <c r="V60" s="64">
        <v>4.0999999999999996</v>
      </c>
      <c r="W60" s="64">
        <v>1.7</v>
      </c>
      <c r="X60" s="64">
        <v>0</v>
      </c>
      <c r="Y60" s="64">
        <v>0</v>
      </c>
      <c r="Z60" s="64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4</v>
      </c>
      <c r="V62" s="64">
        <v>4</v>
      </c>
      <c r="W62" s="64">
        <v>4</v>
      </c>
      <c r="X62" s="64">
        <v>4</v>
      </c>
      <c r="Y62" s="64">
        <v>4</v>
      </c>
      <c r="Z62" s="64">
        <v>4</v>
      </c>
      <c r="AA62" s="64">
        <v>4</v>
      </c>
      <c r="AB62" s="64">
        <v>4</v>
      </c>
      <c r="AC62" s="64">
        <v>4</v>
      </c>
      <c r="AD62" s="64">
        <v>4</v>
      </c>
      <c r="AE62" s="64">
        <v>4</v>
      </c>
      <c r="AF62" s="64">
        <v>4</v>
      </c>
      <c r="AG62" s="54">
        <v>15</v>
      </c>
      <c r="AH62" s="47">
        <f t="shared" si="2"/>
        <v>5</v>
      </c>
      <c r="AI62" s="48">
        <f t="shared" si="3"/>
        <v>4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9.3000000000000007</v>
      </c>
      <c r="C63" s="64">
        <v>9.3000000000000007</v>
      </c>
      <c r="D63" s="64">
        <v>9.3000000000000007</v>
      </c>
      <c r="E63" s="64">
        <v>9.3000000000000007</v>
      </c>
      <c r="F63" s="64">
        <v>9.3000000000000007</v>
      </c>
      <c r="G63" s="64">
        <v>9.3000000000000007</v>
      </c>
      <c r="H63" s="64">
        <v>9.3000000000000007</v>
      </c>
      <c r="I63" s="64">
        <v>9.3000000000000007</v>
      </c>
      <c r="J63" s="64">
        <v>9.3000000000000007</v>
      </c>
      <c r="K63" s="64">
        <v>9.3000000000000007</v>
      </c>
      <c r="L63" s="64">
        <v>9.3000000000000007</v>
      </c>
      <c r="M63" s="64">
        <v>9.3000000000000007</v>
      </c>
      <c r="N63" s="64">
        <v>9.3000000000000007</v>
      </c>
      <c r="O63" s="64">
        <v>9.3000000000000007</v>
      </c>
      <c r="P63" s="64">
        <v>9.3000000000000007</v>
      </c>
      <c r="Q63" s="64">
        <v>9.3000000000000007</v>
      </c>
      <c r="R63" s="64">
        <v>10.199999999999999</v>
      </c>
      <c r="S63" s="64">
        <v>10.199999999999999</v>
      </c>
      <c r="T63" s="64">
        <v>10.199999999999999</v>
      </c>
      <c r="U63" s="64">
        <v>8.5</v>
      </c>
      <c r="V63" s="64">
        <v>8.5</v>
      </c>
      <c r="W63" s="64">
        <v>8.5</v>
      </c>
      <c r="X63" s="64">
        <v>8.5</v>
      </c>
      <c r="Y63" s="64">
        <v>8.5</v>
      </c>
      <c r="Z63" s="64">
        <v>8.5</v>
      </c>
      <c r="AA63" s="64">
        <v>8.5</v>
      </c>
      <c r="AB63" s="64">
        <v>8.5</v>
      </c>
      <c r="AC63" s="64">
        <v>8.5</v>
      </c>
      <c r="AD63" s="64">
        <v>8.5</v>
      </c>
      <c r="AE63" s="64">
        <v>8.5</v>
      </c>
      <c r="AF63" s="64">
        <v>8.5</v>
      </c>
      <c r="AG63" s="54">
        <v>14.1</v>
      </c>
      <c r="AH63" s="47">
        <f t="shared" si="2"/>
        <v>10.199999999999999</v>
      </c>
      <c r="AI63" s="48">
        <f t="shared" si="3"/>
        <v>8.5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2.9</v>
      </c>
      <c r="C64" s="64">
        <v>10</v>
      </c>
      <c r="D64" s="64">
        <v>10</v>
      </c>
      <c r="E64" s="64">
        <v>10</v>
      </c>
      <c r="F64" s="64">
        <v>10</v>
      </c>
      <c r="G64" s="64">
        <v>10</v>
      </c>
      <c r="H64" s="64">
        <v>10</v>
      </c>
      <c r="I64" s="64">
        <v>10</v>
      </c>
      <c r="J64" s="64">
        <v>10</v>
      </c>
      <c r="K64" s="64">
        <v>10</v>
      </c>
      <c r="L64" s="64">
        <v>10</v>
      </c>
      <c r="M64" s="64">
        <v>13.8</v>
      </c>
      <c r="N64" s="64">
        <v>13.8</v>
      </c>
      <c r="O64" s="64">
        <v>13.8</v>
      </c>
      <c r="P64" s="64">
        <v>13.8</v>
      </c>
      <c r="Q64" s="64">
        <v>13.8</v>
      </c>
      <c r="R64" s="64">
        <v>13.8</v>
      </c>
      <c r="S64" s="64">
        <v>13.8</v>
      </c>
      <c r="T64" s="64">
        <v>8.9</v>
      </c>
      <c r="U64" s="64">
        <v>8.8000000000000007</v>
      </c>
      <c r="V64" s="64">
        <v>8.8000000000000007</v>
      </c>
      <c r="W64" s="64">
        <v>8.8000000000000007</v>
      </c>
      <c r="X64" s="64">
        <v>8.8000000000000007</v>
      </c>
      <c r="Y64" s="64">
        <v>8.8000000000000007</v>
      </c>
      <c r="Z64" s="64">
        <v>8.8000000000000007</v>
      </c>
      <c r="AA64" s="64">
        <v>8.8000000000000007</v>
      </c>
      <c r="AB64" s="64">
        <v>8.8000000000000007</v>
      </c>
      <c r="AC64" s="64">
        <v>8.8000000000000007</v>
      </c>
      <c r="AD64" s="64">
        <v>8.8000000000000007</v>
      </c>
      <c r="AE64" s="64">
        <v>8.8000000000000007</v>
      </c>
      <c r="AF64" s="64">
        <v>8.8000000000000007</v>
      </c>
      <c r="AG64" s="54">
        <v>14</v>
      </c>
      <c r="AH64" s="47">
        <f t="shared" si="2"/>
        <v>13.8</v>
      </c>
      <c r="AI64" s="48">
        <f t="shared" si="3"/>
        <v>2.9</v>
      </c>
      <c r="AK64" s="50"/>
    </row>
    <row r="65" spans="1:40" x14ac:dyDescent="0.25">
      <c r="A65" s="53" t="s">
        <v>73</v>
      </c>
      <c r="B65" s="64">
        <v>4</v>
      </c>
      <c r="C65" s="64">
        <v>4</v>
      </c>
      <c r="D65" s="64">
        <v>4</v>
      </c>
      <c r="E65" s="64">
        <v>4</v>
      </c>
      <c r="F65" s="64">
        <v>4</v>
      </c>
      <c r="G65" s="64">
        <v>4</v>
      </c>
      <c r="H65" s="64">
        <v>4</v>
      </c>
      <c r="I65" s="64">
        <v>4</v>
      </c>
      <c r="J65" s="64">
        <v>4</v>
      </c>
      <c r="K65" s="64">
        <v>4</v>
      </c>
      <c r="L65" s="64">
        <v>4</v>
      </c>
      <c r="M65" s="64">
        <v>4</v>
      </c>
      <c r="N65" s="64">
        <v>4</v>
      </c>
      <c r="O65" s="64">
        <v>4</v>
      </c>
      <c r="P65" s="64">
        <v>4</v>
      </c>
      <c r="Q65" s="64">
        <v>4</v>
      </c>
      <c r="R65" s="64">
        <v>4</v>
      </c>
      <c r="S65" s="64">
        <v>4</v>
      </c>
      <c r="T65" s="64">
        <v>4</v>
      </c>
      <c r="U65" s="64">
        <v>4</v>
      </c>
      <c r="V65" s="64">
        <v>4</v>
      </c>
      <c r="W65" s="64">
        <v>4</v>
      </c>
      <c r="X65" s="64">
        <v>4</v>
      </c>
      <c r="Y65" s="64">
        <v>4</v>
      </c>
      <c r="Z65" s="64">
        <v>4</v>
      </c>
      <c r="AA65" s="64">
        <v>4</v>
      </c>
      <c r="AB65" s="64">
        <v>4</v>
      </c>
      <c r="AC65" s="64">
        <v>4</v>
      </c>
      <c r="AD65" s="64">
        <v>4</v>
      </c>
      <c r="AE65" s="64">
        <v>4</v>
      </c>
      <c r="AF65" s="64">
        <v>4</v>
      </c>
      <c r="AG65" s="54">
        <v>10.050000000000001</v>
      </c>
      <c r="AH65" s="47">
        <f t="shared" si="2"/>
        <v>4</v>
      </c>
      <c r="AI65" s="48">
        <f t="shared" si="3"/>
        <v>4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8">SUM(B55:B67)</f>
        <v>358.04</v>
      </c>
      <c r="C68" s="60">
        <f t="shared" si="18"/>
        <v>373.94</v>
      </c>
      <c r="D68" s="60">
        <f t="shared" si="18"/>
        <v>310.24000000000007</v>
      </c>
      <c r="E68" s="60">
        <f t="shared" si="18"/>
        <v>365.94</v>
      </c>
      <c r="F68" s="60">
        <f t="shared" si="18"/>
        <v>376.84000000000003</v>
      </c>
      <c r="G68" s="60">
        <f t="shared" si="18"/>
        <v>363.64000000000004</v>
      </c>
      <c r="H68" s="60">
        <f t="shared" si="18"/>
        <v>365.74</v>
      </c>
      <c r="I68" s="60">
        <f t="shared" si="18"/>
        <v>389.44</v>
      </c>
      <c r="J68" s="60">
        <f t="shared" si="18"/>
        <v>370.34000000000003</v>
      </c>
      <c r="K68" s="60">
        <f t="shared" si="18"/>
        <v>407.44</v>
      </c>
      <c r="L68" s="60">
        <f t="shared" si="18"/>
        <v>412.64</v>
      </c>
      <c r="M68" s="60">
        <f t="shared" si="18"/>
        <v>406.94</v>
      </c>
      <c r="N68" s="60">
        <f t="shared" si="18"/>
        <v>383.34000000000003</v>
      </c>
      <c r="O68" s="60">
        <f t="shared" si="18"/>
        <v>407.24000000000007</v>
      </c>
      <c r="P68" s="60">
        <f t="shared" si="18"/>
        <v>421.84000000000003</v>
      </c>
      <c r="Q68" s="60">
        <f t="shared" si="18"/>
        <v>409.44000000000005</v>
      </c>
      <c r="R68" s="60">
        <f t="shared" ref="R68:S68" si="19">SUM(R55:R67)</f>
        <v>393.74</v>
      </c>
      <c r="S68" s="60">
        <f t="shared" si="19"/>
        <v>408.44</v>
      </c>
      <c r="T68" s="60">
        <f t="shared" ref="T68:U68" si="20">SUM(T55:T67)</f>
        <v>389.24</v>
      </c>
      <c r="U68" s="60">
        <f t="shared" si="20"/>
        <v>367.74</v>
      </c>
      <c r="V68" s="60">
        <f t="shared" ref="V68:W68" si="21">SUM(V55:V67)</f>
        <v>366.64000000000004</v>
      </c>
      <c r="W68" s="60">
        <f t="shared" si="21"/>
        <v>393.84000000000003</v>
      </c>
      <c r="X68" s="60">
        <f t="shared" ref="X68:Y68" si="22">SUM(X55:X67)</f>
        <v>374.74</v>
      </c>
      <c r="Y68" s="60">
        <f t="shared" si="22"/>
        <v>376.74</v>
      </c>
      <c r="Z68" s="60">
        <f t="shared" ref="Z68:AA68" si="23">SUM(Z55:Z67)</f>
        <v>391.74</v>
      </c>
      <c r="AA68" s="60">
        <f t="shared" si="23"/>
        <v>410.14</v>
      </c>
      <c r="AB68" s="60">
        <f t="shared" si="18"/>
        <v>410.14</v>
      </c>
      <c r="AC68" s="60">
        <f t="shared" si="18"/>
        <v>410.14</v>
      </c>
      <c r="AD68" s="60">
        <f t="shared" si="18"/>
        <v>410.14</v>
      </c>
      <c r="AE68" s="60">
        <f t="shared" si="18"/>
        <v>410.14</v>
      </c>
      <c r="AF68" s="60">
        <f t="shared" si="18"/>
        <v>410.14</v>
      </c>
      <c r="AG68" s="61">
        <f t="shared" si="18"/>
        <v>489.91</v>
      </c>
      <c r="AH68" s="47">
        <f t="shared" si="2"/>
        <v>421.84000000000003</v>
      </c>
      <c r="AI68" s="48">
        <f t="shared" si="3"/>
        <v>310.24000000000007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>
        <v>14</v>
      </c>
      <c r="Z69" s="45">
        <v>35</v>
      </c>
      <c r="AA69" s="45">
        <v>10</v>
      </c>
      <c r="AB69" s="45"/>
      <c r="AC69" s="45"/>
      <c r="AD69" s="45"/>
      <c r="AE69" s="45"/>
      <c r="AF69" s="45"/>
      <c r="AG69" s="51">
        <v>60</v>
      </c>
      <c r="AH69" s="47">
        <f t="shared" si="2"/>
        <v>35</v>
      </c>
      <c r="AI69" s="48">
        <f t="shared" si="3"/>
        <v>10</v>
      </c>
      <c r="AK69" s="50"/>
    </row>
    <row r="70" spans="1:40" x14ac:dyDescent="0.25">
      <c r="A70" s="53" t="s">
        <v>78</v>
      </c>
      <c r="B70" s="45"/>
      <c r="C70" s="45"/>
      <c r="D70" s="45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>
        <v>20.9</v>
      </c>
      <c r="AA70" s="64">
        <v>5.8</v>
      </c>
      <c r="AB70" s="64"/>
      <c r="AC70" s="64"/>
      <c r="AD70" s="64"/>
      <c r="AE70" s="64"/>
      <c r="AF70" s="64"/>
      <c r="AG70" s="54">
        <v>32</v>
      </c>
      <c r="AH70" s="47">
        <f t="shared" si="2"/>
        <v>20.9</v>
      </c>
      <c r="AI70" s="48">
        <f t="shared" si="3"/>
        <v>5.8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>
        <v>7.6</v>
      </c>
      <c r="AA71" s="66">
        <v>2.1</v>
      </c>
      <c r="AB71" s="66"/>
      <c r="AC71" s="66"/>
      <c r="AD71" s="66"/>
      <c r="AE71" s="66"/>
      <c r="AF71" s="66"/>
      <c r="AG71" s="67">
        <v>14</v>
      </c>
      <c r="AH71" s="47">
        <f t="shared" si="2"/>
        <v>7.6</v>
      </c>
      <c r="AI71" s="48">
        <f t="shared" si="3"/>
        <v>2.1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24">M69+M70+M71</f>
        <v>0</v>
      </c>
      <c r="N72" s="60">
        <f t="shared" si="24"/>
        <v>0</v>
      </c>
      <c r="O72" s="60">
        <f t="shared" si="24"/>
        <v>0</v>
      </c>
      <c r="P72" s="60">
        <f t="shared" si="24"/>
        <v>0</v>
      </c>
      <c r="Q72" s="60">
        <f t="shared" si="24"/>
        <v>0</v>
      </c>
      <c r="R72" s="60">
        <f t="shared" ref="R72:S72" si="25">R69+R70+R71</f>
        <v>0</v>
      </c>
      <c r="S72" s="60">
        <f t="shared" si="25"/>
        <v>0</v>
      </c>
      <c r="T72" s="60">
        <f t="shared" ref="T72:U72" si="26">T69+T70+T71</f>
        <v>0</v>
      </c>
      <c r="U72" s="60">
        <f t="shared" si="26"/>
        <v>0</v>
      </c>
      <c r="V72" s="60">
        <f t="shared" ref="V72:W72" si="27">V69+V70+V71</f>
        <v>0</v>
      </c>
      <c r="W72" s="60">
        <f t="shared" si="27"/>
        <v>0</v>
      </c>
      <c r="X72" s="60">
        <f t="shared" ref="X72:Y72" si="28">X69+X70+X71</f>
        <v>0</v>
      </c>
      <c r="Y72" s="60">
        <f t="shared" si="28"/>
        <v>14</v>
      </c>
      <c r="Z72" s="60">
        <f t="shared" ref="Z72:AA72" si="29">Z69+Z70+Z71</f>
        <v>63.5</v>
      </c>
      <c r="AA72" s="60">
        <f t="shared" si="29"/>
        <v>17.900000000000002</v>
      </c>
      <c r="AB72" s="60">
        <f t="shared" si="24"/>
        <v>0</v>
      </c>
      <c r="AC72" s="60">
        <f t="shared" si="24"/>
        <v>0</v>
      </c>
      <c r="AD72" s="60">
        <f t="shared" si="24"/>
        <v>0</v>
      </c>
      <c r="AE72" s="60">
        <f t="shared" si="24"/>
        <v>0</v>
      </c>
      <c r="AF72" s="60">
        <f t="shared" si="24"/>
        <v>0</v>
      </c>
      <c r="AG72" s="61">
        <f>SUM(AG69:AG71)</f>
        <v>106</v>
      </c>
      <c r="AH72" s="47">
        <f t="shared" si="2"/>
        <v>63.5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-25</v>
      </c>
      <c r="C73" s="45">
        <v>-30.9</v>
      </c>
      <c r="D73" s="45">
        <v>-32.9</v>
      </c>
      <c r="E73" s="45">
        <v>-34</v>
      </c>
      <c r="F73" s="45">
        <v>-39</v>
      </c>
      <c r="G73" s="45">
        <v>-41</v>
      </c>
      <c r="H73" s="45">
        <v>-50</v>
      </c>
      <c r="I73" s="45">
        <f>-38.4</f>
        <v>-38.4</v>
      </c>
      <c r="J73" s="45">
        <v>-42.2</v>
      </c>
      <c r="K73" s="45">
        <v>-18.399999999999999</v>
      </c>
      <c r="L73" s="45">
        <v>-24.6</v>
      </c>
      <c r="M73" s="45">
        <v>-13.2</v>
      </c>
      <c r="N73" s="45">
        <v>-14.8</v>
      </c>
      <c r="O73" s="45">
        <v>-11.4</v>
      </c>
      <c r="P73" s="45">
        <v>-9.3000000000000007</v>
      </c>
      <c r="Q73" s="45">
        <v>-20.7</v>
      </c>
      <c r="R73" s="45">
        <v>-5</v>
      </c>
      <c r="S73" s="45">
        <v>-5.0999999999999996</v>
      </c>
      <c r="T73" s="45">
        <v>-11.7</v>
      </c>
      <c r="U73" s="45">
        <v>-8.3000000000000007</v>
      </c>
      <c r="V73" s="45">
        <v>3</v>
      </c>
      <c r="W73" s="45">
        <v>-8.3000000000000007</v>
      </c>
      <c r="X73" s="45">
        <v>11.3</v>
      </c>
      <c r="Y73" s="45">
        <v>26.8</v>
      </c>
      <c r="Z73" s="45">
        <v>12.3</v>
      </c>
      <c r="AA73" s="45">
        <v>1.7</v>
      </c>
      <c r="AB73" s="45">
        <v>-2.9</v>
      </c>
      <c r="AC73" s="45">
        <v>4.0999999999999996</v>
      </c>
      <c r="AD73" s="45">
        <v>0</v>
      </c>
      <c r="AE73" s="45">
        <v>6.1</v>
      </c>
      <c r="AF73" s="45">
        <v>11</v>
      </c>
      <c r="AG73" s="51"/>
      <c r="AH73" s="47">
        <f t="shared" si="2"/>
        <v>26.8</v>
      </c>
      <c r="AI73" s="48">
        <f t="shared" si="3"/>
        <v>-50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-372</v>
      </c>
      <c r="C75" s="64">
        <v>-412.5</v>
      </c>
      <c r="D75" s="64">
        <v>-437.3</v>
      </c>
      <c r="E75" s="64">
        <v>-410</v>
      </c>
      <c r="F75" s="64">
        <v>-433</v>
      </c>
      <c r="G75" s="64">
        <v>-460.9</v>
      </c>
      <c r="H75" s="64">
        <v>-466.9</v>
      </c>
      <c r="I75" s="64">
        <v>-469</v>
      </c>
      <c r="J75" s="64">
        <v>-412</v>
      </c>
      <c r="K75" s="64">
        <v>-433</v>
      </c>
      <c r="L75" s="64">
        <v>-412</v>
      </c>
      <c r="M75" s="64">
        <v>-395</v>
      </c>
      <c r="N75" s="64">
        <v>-382.3</v>
      </c>
      <c r="O75" s="64">
        <v>-358.9</v>
      </c>
      <c r="P75" s="64">
        <v>-356.3</v>
      </c>
      <c r="Q75" s="64">
        <v>-418.7</v>
      </c>
      <c r="R75" s="64">
        <v>-410</v>
      </c>
      <c r="S75" s="64">
        <v>-411.2</v>
      </c>
      <c r="T75" s="64">
        <v>-396.2</v>
      </c>
      <c r="U75" s="64">
        <v>-373.7</v>
      </c>
      <c r="V75" s="64">
        <v>-399</v>
      </c>
      <c r="W75" s="64">
        <v>-390.8</v>
      </c>
      <c r="X75" s="64">
        <v>-459.5</v>
      </c>
      <c r="Y75" s="64">
        <v>-379.5</v>
      </c>
      <c r="Z75" s="64">
        <v>-383.9</v>
      </c>
      <c r="AA75" s="64">
        <v>-359.6</v>
      </c>
      <c r="AB75" s="64">
        <v>-367</v>
      </c>
      <c r="AC75" s="64">
        <v>-360</v>
      </c>
      <c r="AD75" s="64">
        <v>-344</v>
      </c>
      <c r="AE75" s="64">
        <v>-362</v>
      </c>
      <c r="AF75" s="64">
        <v>-325</v>
      </c>
      <c r="AG75" s="74"/>
      <c r="AH75" s="47">
        <f t="shared" si="2"/>
        <v>-325</v>
      </c>
      <c r="AI75" s="48">
        <f t="shared" si="3"/>
        <v>-469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30">MAX(B77:AF77)</f>
        <v>0</v>
      </c>
      <c r="AI77" s="48">
        <f t="shared" ref="AI77:AI120" si="31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30"/>
        <v>0</v>
      </c>
      <c r="AI78" s="48">
        <f t="shared" si="31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30"/>
        <v>0</v>
      </c>
      <c r="AI79" s="48">
        <f t="shared" si="3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30"/>
        <v>0</v>
      </c>
      <c r="AI80" s="48">
        <f t="shared" si="3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30"/>
        <v>0</v>
      </c>
      <c r="AI81" s="48">
        <f t="shared" si="3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30"/>
        <v>0</v>
      </c>
      <c r="AI82" s="48">
        <f t="shared" si="3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30"/>
        <v>0</v>
      </c>
      <c r="AI83" s="48">
        <f t="shared" si="3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32">SUMIF(B73:B83,"&gt;0")</f>
        <v>0</v>
      </c>
      <c r="C84" s="60">
        <f t="shared" si="32"/>
        <v>0</v>
      </c>
      <c r="D84" s="60">
        <f t="shared" si="32"/>
        <v>0</v>
      </c>
      <c r="E84" s="60">
        <f t="shared" si="32"/>
        <v>0</v>
      </c>
      <c r="F84" s="60">
        <f t="shared" si="32"/>
        <v>0</v>
      </c>
      <c r="G84" s="60">
        <f t="shared" si="32"/>
        <v>0</v>
      </c>
      <c r="H84" s="60">
        <f t="shared" si="32"/>
        <v>0</v>
      </c>
      <c r="I84" s="60">
        <f t="shared" si="32"/>
        <v>0</v>
      </c>
      <c r="J84" s="60">
        <f t="shared" si="32"/>
        <v>0</v>
      </c>
      <c r="K84" s="60">
        <f t="shared" si="32"/>
        <v>0</v>
      </c>
      <c r="L84" s="60">
        <f t="shared" si="32"/>
        <v>0</v>
      </c>
      <c r="M84" s="60">
        <f t="shared" si="32"/>
        <v>0</v>
      </c>
      <c r="N84" s="60">
        <f t="shared" si="32"/>
        <v>0</v>
      </c>
      <c r="O84" s="60">
        <f t="shared" si="32"/>
        <v>0</v>
      </c>
      <c r="P84" s="60">
        <f t="shared" si="32"/>
        <v>0</v>
      </c>
      <c r="Q84" s="60">
        <f t="shared" si="32"/>
        <v>0</v>
      </c>
      <c r="R84" s="60">
        <f t="shared" si="32"/>
        <v>0</v>
      </c>
      <c r="S84" s="60">
        <f t="shared" ref="S84:T84" si="33">SUMIF(S73:S83,"&gt;0")</f>
        <v>0</v>
      </c>
      <c r="T84" s="60">
        <f t="shared" si="33"/>
        <v>0</v>
      </c>
      <c r="U84" s="60">
        <f t="shared" ref="U84:V84" si="34">SUMIF(U73:U83,"&gt;0")</f>
        <v>0</v>
      </c>
      <c r="V84" s="60">
        <f t="shared" si="34"/>
        <v>3</v>
      </c>
      <c r="W84" s="60">
        <f t="shared" ref="W84:X84" si="35">SUMIF(W73:W83,"&gt;0")</f>
        <v>0</v>
      </c>
      <c r="X84" s="60">
        <f t="shared" si="35"/>
        <v>11.3</v>
      </c>
      <c r="Y84" s="60">
        <f t="shared" ref="Y84:AA84" si="36">SUMIF(Y73:Y83,"&gt;0")</f>
        <v>26.8</v>
      </c>
      <c r="Z84" s="60">
        <f t="shared" si="36"/>
        <v>12.3</v>
      </c>
      <c r="AA84" s="60">
        <f t="shared" si="36"/>
        <v>1.7</v>
      </c>
      <c r="AB84" s="60">
        <f t="shared" si="32"/>
        <v>0</v>
      </c>
      <c r="AC84" s="60">
        <f t="shared" si="32"/>
        <v>4.0999999999999996</v>
      </c>
      <c r="AD84" s="60">
        <f t="shared" si="32"/>
        <v>0</v>
      </c>
      <c r="AE84" s="60">
        <f t="shared" si="32"/>
        <v>6.1</v>
      </c>
      <c r="AF84" s="60">
        <f t="shared" si="32"/>
        <v>11</v>
      </c>
      <c r="AG84" s="87">
        <f>SUM(AG73:AG83)</f>
        <v>0</v>
      </c>
      <c r="AH84" s="47">
        <f t="shared" si="30"/>
        <v>26.8</v>
      </c>
      <c r="AI84" s="48">
        <f t="shared" si="31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30"/>
        <v>0</v>
      </c>
      <c r="AI85" s="48">
        <f t="shared" si="31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30"/>
        <v>0</v>
      </c>
      <c r="AI86" s="48">
        <f t="shared" si="3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30"/>
        <v>0</v>
      </c>
      <c r="AI87" s="48">
        <f t="shared" si="3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30"/>
        <v>0</v>
      </c>
      <c r="AI88" s="48">
        <f t="shared" si="31"/>
        <v>0</v>
      </c>
    </row>
    <row r="89" spans="1:40" ht="15.75" thickBot="1" x14ac:dyDescent="0.3">
      <c r="A89" s="73" t="s">
        <v>100</v>
      </c>
      <c r="B89" s="94">
        <f t="shared" ref="B89:AG89" si="37">B50+B54+B72+B68+B84+B88</f>
        <v>1943.94</v>
      </c>
      <c r="C89" s="94">
        <f t="shared" si="37"/>
        <v>1995.8400000000001</v>
      </c>
      <c r="D89" s="94">
        <f t="shared" si="37"/>
        <v>1932.14</v>
      </c>
      <c r="E89" s="94">
        <f t="shared" si="37"/>
        <v>1987.8400000000001</v>
      </c>
      <c r="F89" s="94">
        <f t="shared" si="37"/>
        <v>1969.44</v>
      </c>
      <c r="G89" s="94">
        <f t="shared" si="37"/>
        <v>1985.5400000000002</v>
      </c>
      <c r="H89" s="94">
        <f t="shared" si="37"/>
        <v>1987.64</v>
      </c>
      <c r="I89" s="94">
        <f t="shared" si="37"/>
        <v>2011.3400000000001</v>
      </c>
      <c r="J89" s="94">
        <f t="shared" si="37"/>
        <v>1992.2400000000002</v>
      </c>
      <c r="K89" s="94">
        <f t="shared" si="37"/>
        <v>2029.3400000000001</v>
      </c>
      <c r="L89" s="94">
        <f t="shared" si="37"/>
        <v>2046.54</v>
      </c>
      <c r="M89" s="94">
        <f t="shared" si="37"/>
        <v>2031.2400000000002</v>
      </c>
      <c r="N89" s="94">
        <f t="shared" si="37"/>
        <v>2017.6400000000003</v>
      </c>
      <c r="O89" s="94">
        <f t="shared" si="37"/>
        <v>2040.64</v>
      </c>
      <c r="P89" s="94">
        <f t="shared" si="37"/>
        <v>2059.2400000000002</v>
      </c>
      <c r="Q89" s="94">
        <f t="shared" si="37"/>
        <v>2047.44</v>
      </c>
      <c r="R89" s="94">
        <f t="shared" si="37"/>
        <v>2014.74</v>
      </c>
      <c r="S89" s="94">
        <f t="shared" ref="S89:T89" si="38">S50+S54+S72+S68+S84+S88</f>
        <v>2029.44</v>
      </c>
      <c r="T89" s="94">
        <f t="shared" si="38"/>
        <v>2010.24</v>
      </c>
      <c r="U89" s="94">
        <f t="shared" ref="U89:V89" si="39">U50+U54+U72+U68+U84+U88</f>
        <v>1995.84</v>
      </c>
      <c r="V89" s="94">
        <f t="shared" si="39"/>
        <v>1997.74</v>
      </c>
      <c r="W89" s="94">
        <f t="shared" ref="W89:X89" si="40">W50+W54+W72+W68+W84+W88</f>
        <v>2027.6400000000003</v>
      </c>
      <c r="X89" s="94">
        <f t="shared" si="40"/>
        <v>2070.1400000000003</v>
      </c>
      <c r="Y89" s="94">
        <f t="shared" ref="Y89:AA89" si="41">Y50+Y54+Y72+Y68+Y84+Y88</f>
        <v>2130.84</v>
      </c>
      <c r="Z89" s="94">
        <f t="shared" si="41"/>
        <v>2191.9400000000005</v>
      </c>
      <c r="AA89" s="94">
        <f t="shared" si="41"/>
        <v>2154.14</v>
      </c>
      <c r="AB89" s="94">
        <f t="shared" si="37"/>
        <v>2111.2399999999998</v>
      </c>
      <c r="AC89" s="94">
        <f t="shared" si="37"/>
        <v>2104.3399999999997</v>
      </c>
      <c r="AD89" s="94">
        <f t="shared" si="37"/>
        <v>2064.44</v>
      </c>
      <c r="AE89" s="94">
        <f t="shared" si="37"/>
        <v>2060.54</v>
      </c>
      <c r="AF89" s="94">
        <f t="shared" si="37"/>
        <v>2034.94</v>
      </c>
      <c r="AG89" s="61">
        <f t="shared" si="37"/>
        <v>2111.5500000000002</v>
      </c>
      <c r="AH89" s="47">
        <f t="shared" si="30"/>
        <v>2191.9400000000005</v>
      </c>
      <c r="AI89" s="48">
        <f t="shared" si="31"/>
        <v>1932.14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>
        <v>50</v>
      </c>
      <c r="Q90" s="96">
        <v>60</v>
      </c>
      <c r="R90" s="96">
        <v>60</v>
      </c>
      <c r="S90" s="96">
        <v>61</v>
      </c>
      <c r="T90" s="96">
        <v>62</v>
      </c>
      <c r="U90" s="96">
        <v>63</v>
      </c>
      <c r="V90" s="96">
        <v>64</v>
      </c>
      <c r="W90" s="96">
        <v>65</v>
      </c>
      <c r="X90" s="96">
        <v>66</v>
      </c>
      <c r="Y90" s="96">
        <v>67</v>
      </c>
      <c r="Z90" s="96">
        <v>68</v>
      </c>
      <c r="AA90" s="96">
        <v>71</v>
      </c>
      <c r="AB90" s="96"/>
      <c r="AC90" s="96"/>
      <c r="AD90" s="96"/>
      <c r="AE90" s="96"/>
      <c r="AF90" s="96"/>
      <c r="AG90" s="87"/>
      <c r="AH90" s="47">
        <f t="shared" si="30"/>
        <v>71</v>
      </c>
      <c r="AI90" s="48">
        <f t="shared" si="31"/>
        <v>50</v>
      </c>
    </row>
    <row r="91" spans="1:40" ht="15.75" thickBot="1" x14ac:dyDescent="0.3">
      <c r="A91" s="73" t="s">
        <v>102</v>
      </c>
      <c r="B91" s="94">
        <f t="shared" ref="B91:AF91" si="42">B89+B90</f>
        <v>1943.94</v>
      </c>
      <c r="C91" s="94">
        <f t="shared" si="42"/>
        <v>1995.8400000000001</v>
      </c>
      <c r="D91" s="94">
        <f t="shared" si="42"/>
        <v>1932.14</v>
      </c>
      <c r="E91" s="94">
        <f t="shared" si="42"/>
        <v>1987.8400000000001</v>
      </c>
      <c r="F91" s="94">
        <f t="shared" si="42"/>
        <v>1969.44</v>
      </c>
      <c r="G91" s="94">
        <f t="shared" si="42"/>
        <v>1985.5400000000002</v>
      </c>
      <c r="H91" s="94">
        <f t="shared" si="42"/>
        <v>1987.64</v>
      </c>
      <c r="I91" s="94">
        <f t="shared" si="42"/>
        <v>2011.3400000000001</v>
      </c>
      <c r="J91" s="94">
        <f t="shared" si="42"/>
        <v>1992.2400000000002</v>
      </c>
      <c r="K91" s="94">
        <f t="shared" si="42"/>
        <v>2029.3400000000001</v>
      </c>
      <c r="L91" s="94">
        <f t="shared" si="42"/>
        <v>2046.54</v>
      </c>
      <c r="M91" s="94">
        <f t="shared" si="42"/>
        <v>2031.2400000000002</v>
      </c>
      <c r="N91" s="94">
        <f t="shared" si="42"/>
        <v>2017.6400000000003</v>
      </c>
      <c r="O91" s="94">
        <f t="shared" si="42"/>
        <v>2040.64</v>
      </c>
      <c r="P91" s="94">
        <f t="shared" si="42"/>
        <v>2109.2400000000002</v>
      </c>
      <c r="Q91" s="94">
        <f t="shared" si="42"/>
        <v>2107.44</v>
      </c>
      <c r="R91" s="94">
        <f t="shared" si="42"/>
        <v>2074.7399999999998</v>
      </c>
      <c r="S91" s="94">
        <f t="shared" ref="S91:T91" si="43">S89+S90</f>
        <v>2090.44</v>
      </c>
      <c r="T91" s="94">
        <f t="shared" si="43"/>
        <v>2072.2399999999998</v>
      </c>
      <c r="U91" s="94">
        <f t="shared" ref="U91:V91" si="44">U89+U90</f>
        <v>2058.84</v>
      </c>
      <c r="V91" s="94">
        <f t="shared" si="44"/>
        <v>2061.7399999999998</v>
      </c>
      <c r="W91" s="94">
        <f t="shared" ref="W91:X91" si="45">W89+W90</f>
        <v>2092.6400000000003</v>
      </c>
      <c r="X91" s="94">
        <f t="shared" si="45"/>
        <v>2136.1400000000003</v>
      </c>
      <c r="Y91" s="94">
        <f t="shared" ref="Y91:AA91" si="46">Y89+Y90</f>
        <v>2197.84</v>
      </c>
      <c r="Z91" s="94">
        <f t="shared" si="46"/>
        <v>2259.9400000000005</v>
      </c>
      <c r="AA91" s="94">
        <f t="shared" si="46"/>
        <v>2225.14</v>
      </c>
      <c r="AB91" s="94">
        <f t="shared" si="42"/>
        <v>2111.2399999999998</v>
      </c>
      <c r="AC91" s="94">
        <f t="shared" si="42"/>
        <v>2104.3399999999997</v>
      </c>
      <c r="AD91" s="94">
        <f t="shared" si="42"/>
        <v>2064.44</v>
      </c>
      <c r="AE91" s="94">
        <f t="shared" si="42"/>
        <v>2060.54</v>
      </c>
      <c r="AF91" s="94">
        <f t="shared" si="42"/>
        <v>2034.94</v>
      </c>
      <c r="AG91" s="87">
        <f>AG88+AG84+AG72+AG68+AG50+AG90</f>
        <v>1573.45</v>
      </c>
      <c r="AH91" s="47">
        <f t="shared" si="30"/>
        <v>2259.9400000000005</v>
      </c>
      <c r="AI91" s="48">
        <f t="shared" si="31"/>
        <v>1932.14</v>
      </c>
    </row>
    <row r="92" spans="1:40" ht="15.75" thickBot="1" x14ac:dyDescent="0.3">
      <c r="A92" s="73" t="s">
        <v>103</v>
      </c>
      <c r="B92" s="94">
        <f>B91-(-B99)</f>
        <v>1571.94</v>
      </c>
      <c r="C92" s="94">
        <f t="shared" ref="C92:AF92" si="47">C91-(-C99)</f>
        <v>1583.3400000000001</v>
      </c>
      <c r="D92" s="94">
        <f t="shared" si="47"/>
        <v>1494.8400000000001</v>
      </c>
      <c r="E92" s="94">
        <f t="shared" si="47"/>
        <v>1577.8400000000001</v>
      </c>
      <c r="F92" s="94">
        <f t="shared" si="47"/>
        <v>1536.44</v>
      </c>
      <c r="G92" s="94">
        <f t="shared" si="47"/>
        <v>1524.6400000000003</v>
      </c>
      <c r="H92" s="94">
        <f t="shared" si="47"/>
        <v>1520.7400000000002</v>
      </c>
      <c r="I92" s="94">
        <f t="shared" si="47"/>
        <v>1542.3400000000001</v>
      </c>
      <c r="J92" s="94">
        <f t="shared" si="47"/>
        <v>1580.2400000000002</v>
      </c>
      <c r="K92" s="94">
        <f t="shared" si="47"/>
        <v>1596.3400000000001</v>
      </c>
      <c r="L92" s="94">
        <f t="shared" si="47"/>
        <v>1634.54</v>
      </c>
      <c r="M92" s="94">
        <f t="shared" si="47"/>
        <v>1636.2400000000002</v>
      </c>
      <c r="N92" s="94">
        <f t="shared" si="47"/>
        <v>1635.3400000000004</v>
      </c>
      <c r="O92" s="94">
        <f t="shared" si="47"/>
        <v>1681.7400000000002</v>
      </c>
      <c r="P92" s="94">
        <f t="shared" si="47"/>
        <v>1752.9400000000003</v>
      </c>
      <c r="Q92" s="94">
        <f t="shared" si="47"/>
        <v>1688.74</v>
      </c>
      <c r="R92" s="94">
        <f t="shared" si="47"/>
        <v>1664.7399999999998</v>
      </c>
      <c r="S92" s="94">
        <f t="shared" ref="S92:T92" si="48">S91-(-S99)</f>
        <v>1679.24</v>
      </c>
      <c r="T92" s="94">
        <f t="shared" si="48"/>
        <v>1676.0399999999997</v>
      </c>
      <c r="U92" s="94">
        <f t="shared" ref="U92:V92" si="49">U91-(-U99)</f>
        <v>1685.14</v>
      </c>
      <c r="V92" s="94">
        <f t="shared" si="49"/>
        <v>1662.7399999999998</v>
      </c>
      <c r="W92" s="94">
        <f t="shared" ref="W92:X92" si="50">W91-(-W99)</f>
        <v>1701.8400000000004</v>
      </c>
      <c r="X92" s="94">
        <f t="shared" si="50"/>
        <v>1676.6400000000003</v>
      </c>
      <c r="Y92" s="94">
        <f t="shared" ref="Y92:AA92" si="51">Y91-(-Y99)</f>
        <v>1818.3400000000001</v>
      </c>
      <c r="Z92" s="94">
        <f t="shared" si="51"/>
        <v>1876.0400000000004</v>
      </c>
      <c r="AA92" s="94">
        <f t="shared" si="51"/>
        <v>1865.54</v>
      </c>
      <c r="AB92" s="94">
        <f t="shared" si="47"/>
        <v>1744.2399999999998</v>
      </c>
      <c r="AC92" s="94">
        <f t="shared" si="47"/>
        <v>1744.3399999999997</v>
      </c>
      <c r="AD92" s="94">
        <f t="shared" si="47"/>
        <v>1720.44</v>
      </c>
      <c r="AE92" s="94">
        <f t="shared" si="47"/>
        <v>1698.54</v>
      </c>
      <c r="AF92" s="94">
        <f t="shared" si="47"/>
        <v>1709.94</v>
      </c>
      <c r="AG92" s="87"/>
      <c r="AH92" s="47">
        <f t="shared" si="30"/>
        <v>1876.0400000000004</v>
      </c>
      <c r="AI92" s="48">
        <f t="shared" si="31"/>
        <v>1494.8400000000001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30"/>
        <v>0</v>
      </c>
      <c r="AI93" s="48">
        <f t="shared" si="3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30"/>
        <v>0</v>
      </c>
      <c r="AI94" s="48">
        <f t="shared" si="3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30"/>
        <v>0</v>
      </c>
      <c r="AI95" s="48">
        <f t="shared" si="3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30"/>
        <v>0</v>
      </c>
      <c r="AI96" s="48">
        <f t="shared" si="3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30"/>
        <v>0</v>
      </c>
      <c r="AI97" s="48">
        <f t="shared" si="3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30"/>
        <v>0</v>
      </c>
      <c r="AI98" s="48">
        <f t="shared" si="31"/>
        <v>0</v>
      </c>
    </row>
    <row r="99" spans="1:37" ht="15.75" thickBot="1" x14ac:dyDescent="0.3">
      <c r="A99" s="98" t="s">
        <v>107</v>
      </c>
      <c r="B99" s="60">
        <f>B75</f>
        <v>-372</v>
      </c>
      <c r="C99" s="60">
        <f t="shared" ref="C99:AF99" si="52">C75</f>
        <v>-412.5</v>
      </c>
      <c r="D99" s="60">
        <f t="shared" si="52"/>
        <v>-437.3</v>
      </c>
      <c r="E99" s="60">
        <f t="shared" si="52"/>
        <v>-410</v>
      </c>
      <c r="F99" s="60">
        <f t="shared" si="52"/>
        <v>-433</v>
      </c>
      <c r="G99" s="60">
        <f t="shared" si="52"/>
        <v>-460.9</v>
      </c>
      <c r="H99" s="60">
        <f t="shared" si="52"/>
        <v>-466.9</v>
      </c>
      <c r="I99" s="60">
        <f t="shared" si="52"/>
        <v>-469</v>
      </c>
      <c r="J99" s="60">
        <f t="shared" si="52"/>
        <v>-412</v>
      </c>
      <c r="K99" s="60">
        <f t="shared" si="52"/>
        <v>-433</v>
      </c>
      <c r="L99" s="60">
        <f t="shared" si="52"/>
        <v>-412</v>
      </c>
      <c r="M99" s="60">
        <f t="shared" si="52"/>
        <v>-395</v>
      </c>
      <c r="N99" s="60">
        <f t="shared" si="52"/>
        <v>-382.3</v>
      </c>
      <c r="O99" s="60">
        <f t="shared" si="52"/>
        <v>-358.9</v>
      </c>
      <c r="P99" s="60">
        <f t="shared" si="52"/>
        <v>-356.3</v>
      </c>
      <c r="Q99" s="60">
        <f t="shared" si="52"/>
        <v>-418.7</v>
      </c>
      <c r="R99" s="60">
        <f t="shared" si="52"/>
        <v>-410</v>
      </c>
      <c r="S99" s="60">
        <f t="shared" ref="S99:T99" si="53">S75</f>
        <v>-411.2</v>
      </c>
      <c r="T99" s="60">
        <f t="shared" si="53"/>
        <v>-396.2</v>
      </c>
      <c r="U99" s="60">
        <f t="shared" ref="U99:V99" si="54">U75</f>
        <v>-373.7</v>
      </c>
      <c r="V99" s="60">
        <f t="shared" si="54"/>
        <v>-399</v>
      </c>
      <c r="W99" s="60">
        <f t="shared" ref="W99:X99" si="55">W75</f>
        <v>-390.8</v>
      </c>
      <c r="X99" s="60">
        <f t="shared" si="55"/>
        <v>-459.5</v>
      </c>
      <c r="Y99" s="60">
        <f t="shared" ref="Y99:AA99" si="56">Y75</f>
        <v>-379.5</v>
      </c>
      <c r="Z99" s="60">
        <f t="shared" si="56"/>
        <v>-383.9</v>
      </c>
      <c r="AA99" s="60">
        <f t="shared" si="56"/>
        <v>-359.6</v>
      </c>
      <c r="AB99" s="60">
        <f t="shared" si="52"/>
        <v>-367</v>
      </c>
      <c r="AC99" s="60">
        <f t="shared" si="52"/>
        <v>-360</v>
      </c>
      <c r="AD99" s="60">
        <f t="shared" si="52"/>
        <v>-344</v>
      </c>
      <c r="AE99" s="60">
        <f t="shared" si="52"/>
        <v>-362</v>
      </c>
      <c r="AF99" s="60">
        <f t="shared" si="52"/>
        <v>-325</v>
      </c>
      <c r="AG99" s="87"/>
      <c r="AH99" s="47">
        <f t="shared" si="30"/>
        <v>-325</v>
      </c>
      <c r="AI99" s="48">
        <f t="shared" si="31"/>
        <v>-469</v>
      </c>
      <c r="AK99" s="50"/>
    </row>
    <row r="100" spans="1:37" ht="15.75" thickBot="1" x14ac:dyDescent="0.3">
      <c r="A100" s="73" t="s">
        <v>108</v>
      </c>
      <c r="B100" s="60">
        <f t="shared" ref="B100:AF100" si="57">B84-B99</f>
        <v>372</v>
      </c>
      <c r="C100" s="60">
        <f t="shared" si="57"/>
        <v>412.5</v>
      </c>
      <c r="D100" s="60">
        <f t="shared" si="57"/>
        <v>437.3</v>
      </c>
      <c r="E100" s="60">
        <f t="shared" si="57"/>
        <v>410</v>
      </c>
      <c r="F100" s="60">
        <f t="shared" si="57"/>
        <v>433</v>
      </c>
      <c r="G100" s="60">
        <f t="shared" si="57"/>
        <v>460.9</v>
      </c>
      <c r="H100" s="60">
        <f t="shared" si="57"/>
        <v>466.9</v>
      </c>
      <c r="I100" s="60">
        <f t="shared" si="57"/>
        <v>469</v>
      </c>
      <c r="J100" s="60">
        <f t="shared" si="57"/>
        <v>412</v>
      </c>
      <c r="K100" s="60">
        <f t="shared" si="57"/>
        <v>433</v>
      </c>
      <c r="L100" s="60">
        <f t="shared" si="57"/>
        <v>412</v>
      </c>
      <c r="M100" s="60">
        <f t="shared" si="57"/>
        <v>395</v>
      </c>
      <c r="N100" s="60">
        <f t="shared" si="57"/>
        <v>382.3</v>
      </c>
      <c r="O100" s="60">
        <f t="shared" si="57"/>
        <v>358.9</v>
      </c>
      <c r="P100" s="60">
        <f t="shared" si="57"/>
        <v>356.3</v>
      </c>
      <c r="Q100" s="60">
        <f t="shared" si="57"/>
        <v>418.7</v>
      </c>
      <c r="R100" s="60">
        <f t="shared" si="57"/>
        <v>410</v>
      </c>
      <c r="S100" s="60">
        <f t="shared" ref="S100:T100" si="58">S84-S99</f>
        <v>411.2</v>
      </c>
      <c r="T100" s="60">
        <f t="shared" si="58"/>
        <v>396.2</v>
      </c>
      <c r="U100" s="60">
        <f t="shared" ref="U100:V100" si="59">U84-U99</f>
        <v>373.7</v>
      </c>
      <c r="V100" s="60">
        <f t="shared" si="59"/>
        <v>402</v>
      </c>
      <c r="W100" s="60">
        <f t="shared" ref="W100:X100" si="60">W84-W99</f>
        <v>390.8</v>
      </c>
      <c r="X100" s="60">
        <f t="shared" si="60"/>
        <v>470.8</v>
      </c>
      <c r="Y100" s="60">
        <f t="shared" ref="Y100:AA100" si="61">Y84-Y99</f>
        <v>406.3</v>
      </c>
      <c r="Z100" s="60">
        <f t="shared" si="61"/>
        <v>396.2</v>
      </c>
      <c r="AA100" s="60">
        <f t="shared" si="61"/>
        <v>361.3</v>
      </c>
      <c r="AB100" s="60">
        <f t="shared" si="57"/>
        <v>367</v>
      </c>
      <c r="AC100" s="60">
        <f t="shared" si="57"/>
        <v>364.1</v>
      </c>
      <c r="AD100" s="60">
        <f t="shared" si="57"/>
        <v>344</v>
      </c>
      <c r="AE100" s="60">
        <f t="shared" si="57"/>
        <v>368.1</v>
      </c>
      <c r="AF100" s="60">
        <f t="shared" si="57"/>
        <v>336</v>
      </c>
      <c r="AG100" s="87"/>
      <c r="AH100" s="47">
        <f t="shared" si="30"/>
        <v>470.8</v>
      </c>
      <c r="AI100" s="48">
        <f t="shared" si="31"/>
        <v>336</v>
      </c>
    </row>
    <row r="101" spans="1:37" x14ac:dyDescent="0.25">
      <c r="A101" s="99" t="s">
        <v>109</v>
      </c>
      <c r="B101" s="100">
        <v>49.994</v>
      </c>
      <c r="C101" s="100">
        <v>49.984000000000002</v>
      </c>
      <c r="D101" s="100">
        <v>49.972999999999999</v>
      </c>
      <c r="E101" s="100">
        <v>50.015000000000001</v>
      </c>
      <c r="F101" s="100">
        <v>50</v>
      </c>
      <c r="G101" s="100">
        <v>49.9</v>
      </c>
      <c r="H101" s="100">
        <v>49.959000000000003</v>
      </c>
      <c r="I101" s="100">
        <v>49.975000000000001</v>
      </c>
      <c r="J101" s="100">
        <v>50.014000000000003</v>
      </c>
      <c r="K101" s="100">
        <v>49.997</v>
      </c>
      <c r="L101" s="100">
        <v>50</v>
      </c>
      <c r="M101" s="100">
        <v>49.991</v>
      </c>
      <c r="N101" s="100">
        <v>49.969000000000001</v>
      </c>
      <c r="O101" s="100">
        <v>50.064999999999998</v>
      </c>
      <c r="P101" s="100">
        <v>50.03</v>
      </c>
      <c r="Q101" s="100">
        <v>49.959000000000003</v>
      </c>
      <c r="R101" s="100">
        <v>50.1</v>
      </c>
      <c r="S101" s="100">
        <v>49.99</v>
      </c>
      <c r="T101" s="100">
        <v>49.94</v>
      </c>
      <c r="U101" s="100">
        <v>49.935000000000002</v>
      </c>
      <c r="V101" s="100">
        <v>49.96</v>
      </c>
      <c r="W101" s="100">
        <v>49.93</v>
      </c>
      <c r="X101" s="100">
        <v>49.81</v>
      </c>
      <c r="Y101" s="100">
        <v>49.91</v>
      </c>
      <c r="Z101" s="100">
        <v>49.97</v>
      </c>
      <c r="AA101" s="100">
        <v>50.05</v>
      </c>
      <c r="AB101" s="100">
        <v>50.021999999999998</v>
      </c>
      <c r="AC101" s="100">
        <v>49.942999999999998</v>
      </c>
      <c r="AD101" s="100">
        <v>49.843000000000004</v>
      </c>
      <c r="AE101" s="100">
        <v>49.991999999999997</v>
      </c>
      <c r="AF101" s="100">
        <v>50.042000000000002</v>
      </c>
      <c r="AG101" s="101"/>
      <c r="AH101" s="47">
        <f t="shared" si="30"/>
        <v>50.1</v>
      </c>
      <c r="AI101" s="48">
        <f t="shared" si="31"/>
        <v>49.81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30"/>
        <v>0</v>
      </c>
      <c r="AI102" s="48">
        <f t="shared" si="31"/>
        <v>0</v>
      </c>
    </row>
    <row r="103" spans="1:37" x14ac:dyDescent="0.25">
      <c r="A103" s="102" t="s">
        <v>111</v>
      </c>
      <c r="B103" s="64">
        <v>129.9</v>
      </c>
      <c r="C103" s="64">
        <v>129.9</v>
      </c>
      <c r="D103" s="64">
        <v>130.4</v>
      </c>
      <c r="E103" s="64">
        <v>130.9</v>
      </c>
      <c r="F103" s="64">
        <v>130.9</v>
      </c>
      <c r="G103" s="64">
        <v>130.9</v>
      </c>
      <c r="H103" s="64">
        <v>129.9</v>
      </c>
      <c r="I103" s="64">
        <v>129</v>
      </c>
      <c r="J103" s="64">
        <v>129</v>
      </c>
      <c r="K103" s="64">
        <v>128</v>
      </c>
      <c r="L103" s="64">
        <v>128</v>
      </c>
      <c r="M103" s="64">
        <v>124.8</v>
      </c>
      <c r="N103" s="64">
        <v>126.5</v>
      </c>
      <c r="O103" s="64">
        <v>125.9</v>
      </c>
      <c r="P103" s="64">
        <v>126</v>
      </c>
      <c r="Q103" s="64">
        <v>127.1</v>
      </c>
      <c r="R103" s="64">
        <v>127.2</v>
      </c>
      <c r="S103" s="64">
        <v>127.2</v>
      </c>
      <c r="T103" s="64">
        <v>126.9</v>
      </c>
      <c r="U103" s="64">
        <v>126.6</v>
      </c>
      <c r="V103" s="64">
        <v>126.6</v>
      </c>
      <c r="W103" s="64">
        <v>126.6</v>
      </c>
      <c r="X103" s="64">
        <v>126.6</v>
      </c>
      <c r="Y103" s="64">
        <v>126.7</v>
      </c>
      <c r="Z103" s="64">
        <v>127.8</v>
      </c>
      <c r="AA103" s="64">
        <v>127.3</v>
      </c>
      <c r="AB103" s="64">
        <v>127.8</v>
      </c>
      <c r="AC103" s="64">
        <v>127.2</v>
      </c>
      <c r="AD103" s="64">
        <v>128</v>
      </c>
      <c r="AE103" s="64">
        <v>127.8</v>
      </c>
      <c r="AF103" s="64">
        <v>128.30000000000001</v>
      </c>
      <c r="AG103" s="103"/>
      <c r="AH103" s="47">
        <f t="shared" si="30"/>
        <v>130.9</v>
      </c>
      <c r="AI103" s="48">
        <f t="shared" si="31"/>
        <v>124.8</v>
      </c>
    </row>
    <row r="104" spans="1:37" x14ac:dyDescent="0.25">
      <c r="A104" s="102" t="s">
        <v>112</v>
      </c>
      <c r="B104" s="64">
        <v>130</v>
      </c>
      <c r="C104" s="64">
        <v>127.7</v>
      </c>
      <c r="D104" s="64">
        <v>128.4</v>
      </c>
      <c r="E104" s="64">
        <v>128</v>
      </c>
      <c r="F104" s="64">
        <v>128</v>
      </c>
      <c r="G104" s="64">
        <v>128</v>
      </c>
      <c r="H104" s="64">
        <v>131</v>
      </c>
      <c r="I104" s="64">
        <v>130.9</v>
      </c>
      <c r="J104" s="64">
        <v>130.9</v>
      </c>
      <c r="K104" s="64">
        <v>127.5</v>
      </c>
      <c r="L104" s="64">
        <v>127.5</v>
      </c>
      <c r="M104" s="64">
        <v>125.5</v>
      </c>
      <c r="N104" s="64">
        <v>130.30000000000001</v>
      </c>
      <c r="O104" s="64">
        <v>127.5</v>
      </c>
      <c r="P104" s="64">
        <v>127.1</v>
      </c>
      <c r="Q104" s="64">
        <v>129</v>
      </c>
      <c r="R104" s="64">
        <v>124.6</v>
      </c>
      <c r="S104" s="64">
        <v>124.6</v>
      </c>
      <c r="T104" s="64">
        <v>128.19999999999999</v>
      </c>
      <c r="U104" s="64">
        <v>127.6</v>
      </c>
      <c r="V104" s="64">
        <v>127.6</v>
      </c>
      <c r="W104" s="64">
        <v>129</v>
      </c>
      <c r="X104" s="64">
        <v>129</v>
      </c>
      <c r="Y104" s="64">
        <v>128.30000000000001</v>
      </c>
      <c r="Z104" s="64">
        <v>127</v>
      </c>
      <c r="AA104" s="64">
        <v>127.1</v>
      </c>
      <c r="AB104" s="64">
        <v>128.19999999999999</v>
      </c>
      <c r="AC104" s="64">
        <v>122.9</v>
      </c>
      <c r="AD104" s="64">
        <v>125.9</v>
      </c>
      <c r="AE104" s="64">
        <v>128.30000000000001</v>
      </c>
      <c r="AF104" s="64">
        <v>129.5</v>
      </c>
      <c r="AG104" s="103"/>
      <c r="AH104" s="47">
        <f t="shared" si="30"/>
        <v>131</v>
      </c>
      <c r="AI104" s="48">
        <f t="shared" si="31"/>
        <v>122.9</v>
      </c>
    </row>
    <row r="105" spans="1:37" x14ac:dyDescent="0.25">
      <c r="A105" s="104" t="s">
        <v>113</v>
      </c>
      <c r="B105" s="64">
        <v>134</v>
      </c>
      <c r="C105" s="64">
        <v>133</v>
      </c>
      <c r="D105" s="64">
        <v>133.5</v>
      </c>
      <c r="E105" s="64">
        <v>132.74</v>
      </c>
      <c r="F105" s="64">
        <v>132.74</v>
      </c>
      <c r="G105" s="64">
        <v>132.74</v>
      </c>
      <c r="H105" s="64">
        <v>134</v>
      </c>
      <c r="I105" s="64">
        <v>133.5</v>
      </c>
      <c r="J105" s="64">
        <v>133.5</v>
      </c>
      <c r="K105" s="64">
        <v>131.9</v>
      </c>
      <c r="L105" s="64">
        <v>131.9</v>
      </c>
      <c r="M105" s="64">
        <v>128.9</v>
      </c>
      <c r="N105" s="64">
        <v>132.1</v>
      </c>
      <c r="O105" s="64">
        <v>128.5</v>
      </c>
      <c r="P105" s="64">
        <v>129.9</v>
      </c>
      <c r="Q105" s="64">
        <v>131.30000000000001</v>
      </c>
      <c r="R105" s="64">
        <v>127.7</v>
      </c>
      <c r="S105" s="64">
        <v>127.7</v>
      </c>
      <c r="T105" s="64">
        <v>131.4</v>
      </c>
      <c r="U105" s="64">
        <v>129.5</v>
      </c>
      <c r="V105" s="64">
        <v>129.5</v>
      </c>
      <c r="W105" s="64">
        <v>131</v>
      </c>
      <c r="X105" s="64">
        <v>131</v>
      </c>
      <c r="Y105" s="64">
        <v>129.69999999999999</v>
      </c>
      <c r="Z105" s="64">
        <v>129.5</v>
      </c>
      <c r="AA105" s="64">
        <v>129.4</v>
      </c>
      <c r="AB105" s="64">
        <v>130.80000000000001</v>
      </c>
      <c r="AC105" s="64">
        <v>126.1</v>
      </c>
      <c r="AD105" s="64">
        <v>129.1</v>
      </c>
      <c r="AE105" s="64">
        <v>131.5</v>
      </c>
      <c r="AF105" s="64">
        <v>132.1</v>
      </c>
      <c r="AG105" s="103"/>
      <c r="AH105" s="47">
        <f t="shared" si="30"/>
        <v>134</v>
      </c>
      <c r="AI105" s="48">
        <f t="shared" si="31"/>
        <v>126.1</v>
      </c>
    </row>
    <row r="106" spans="1:37" x14ac:dyDescent="0.25">
      <c r="A106" s="104" t="s">
        <v>114</v>
      </c>
      <c r="B106" s="105">
        <v>131.4</v>
      </c>
      <c r="C106" s="105">
        <v>131.30000000000001</v>
      </c>
      <c r="D106" s="105">
        <v>133</v>
      </c>
      <c r="E106" s="105">
        <v>133.69999999999999</v>
      </c>
      <c r="F106" s="105">
        <v>133.69999999999999</v>
      </c>
      <c r="G106" s="105">
        <v>133.69999999999999</v>
      </c>
      <c r="H106" s="105">
        <v>132.5</v>
      </c>
      <c r="I106" s="105">
        <v>131.4</v>
      </c>
      <c r="J106" s="105">
        <v>131.4</v>
      </c>
      <c r="K106" s="105">
        <v>129.6</v>
      </c>
      <c r="L106" s="105">
        <v>129.6</v>
      </c>
      <c r="M106" s="105">
        <v>131.1</v>
      </c>
      <c r="N106" s="105">
        <v>135.69999999999999</v>
      </c>
      <c r="O106" s="105">
        <v>132.6</v>
      </c>
      <c r="P106" s="105">
        <v>132.69999999999999</v>
      </c>
      <c r="Q106" s="105">
        <v>133.6</v>
      </c>
      <c r="R106" s="105">
        <v>133.80000000000001</v>
      </c>
      <c r="S106" s="105">
        <v>133.80000000000001</v>
      </c>
      <c r="T106" s="105">
        <v>131.19999999999999</v>
      </c>
      <c r="U106" s="105">
        <v>131.6</v>
      </c>
      <c r="V106" s="105">
        <v>131.6</v>
      </c>
      <c r="W106" s="105">
        <v>132</v>
      </c>
      <c r="X106" s="105">
        <v>132</v>
      </c>
      <c r="Y106" s="105">
        <v>133.5</v>
      </c>
      <c r="Z106" s="105">
        <v>131.80000000000001</v>
      </c>
      <c r="AA106" s="105">
        <v>131.9</v>
      </c>
      <c r="AB106" s="105">
        <v>132.69999999999999</v>
      </c>
      <c r="AC106" s="105">
        <v>133</v>
      </c>
      <c r="AD106" s="105">
        <v>132.6</v>
      </c>
      <c r="AE106" s="105">
        <v>132.9</v>
      </c>
      <c r="AF106" s="105">
        <v>128.80000000000001</v>
      </c>
      <c r="AG106" s="106"/>
      <c r="AH106" s="47">
        <f t="shared" si="30"/>
        <v>135.69999999999999</v>
      </c>
      <c r="AI106" s="48">
        <f t="shared" si="31"/>
        <v>128.80000000000001</v>
      </c>
    </row>
    <row r="107" spans="1:37" x14ac:dyDescent="0.25">
      <c r="A107" s="102" t="s">
        <v>115</v>
      </c>
      <c r="B107" s="64">
        <v>131.19999999999999</v>
      </c>
      <c r="C107" s="64">
        <v>132</v>
      </c>
      <c r="D107" s="64">
        <v>131.69999999999999</v>
      </c>
      <c r="E107" s="64">
        <v>131.80000000000001</v>
      </c>
      <c r="F107" s="64">
        <v>131.80000000000001</v>
      </c>
      <c r="G107" s="64">
        <v>131.80000000000001</v>
      </c>
      <c r="H107" s="64">
        <v>134</v>
      </c>
      <c r="I107" s="64">
        <v>131</v>
      </c>
      <c r="J107" s="64">
        <v>131</v>
      </c>
      <c r="K107" s="64">
        <v>135</v>
      </c>
      <c r="L107" s="64">
        <v>135</v>
      </c>
      <c r="M107" s="64">
        <v>127.7</v>
      </c>
      <c r="N107" s="64">
        <v>132.80000000000001</v>
      </c>
      <c r="O107" s="64">
        <v>128</v>
      </c>
      <c r="P107" s="64">
        <v>130.19999999999999</v>
      </c>
      <c r="Q107" s="64">
        <v>129.19999999999999</v>
      </c>
      <c r="R107" s="64">
        <v>129.1</v>
      </c>
      <c r="S107" s="64">
        <v>129.1</v>
      </c>
      <c r="T107" s="64">
        <v>133</v>
      </c>
      <c r="U107" s="64">
        <v>131.19999999999999</v>
      </c>
      <c r="V107" s="64">
        <v>131.19999999999999</v>
      </c>
      <c r="W107" s="64">
        <v>127.6</v>
      </c>
      <c r="X107" s="64">
        <v>127.6</v>
      </c>
      <c r="Y107" s="64">
        <v>137</v>
      </c>
      <c r="Z107" s="64">
        <v>128.6</v>
      </c>
      <c r="AA107" s="64">
        <v>128.4</v>
      </c>
      <c r="AB107" s="64">
        <v>129.9</v>
      </c>
      <c r="AC107" s="64">
        <v>126.4</v>
      </c>
      <c r="AD107" s="64">
        <v>129.69999999999999</v>
      </c>
      <c r="AE107" s="64">
        <v>127.5</v>
      </c>
      <c r="AF107" s="64">
        <v>127.8</v>
      </c>
      <c r="AG107" s="103"/>
      <c r="AH107" s="47">
        <f t="shared" si="30"/>
        <v>137</v>
      </c>
      <c r="AI107" s="48">
        <f t="shared" si="31"/>
        <v>126.4</v>
      </c>
    </row>
    <row r="108" spans="1:37" ht="15.75" thickBot="1" x14ac:dyDescent="0.3">
      <c r="A108" s="102" t="s">
        <v>116</v>
      </c>
      <c r="B108" s="91">
        <v>65.400000000000006</v>
      </c>
      <c r="C108" s="91">
        <v>65</v>
      </c>
      <c r="D108" s="91">
        <v>65.5</v>
      </c>
      <c r="E108" s="91">
        <v>66</v>
      </c>
      <c r="F108" s="91">
        <v>66</v>
      </c>
      <c r="G108" s="91">
        <v>66</v>
      </c>
      <c r="H108" s="91">
        <v>65.3</v>
      </c>
      <c r="I108" s="91">
        <v>64.8</v>
      </c>
      <c r="J108" s="91">
        <v>64.8</v>
      </c>
      <c r="K108" s="91">
        <v>64.3</v>
      </c>
      <c r="L108" s="91">
        <v>64.3</v>
      </c>
      <c r="M108" s="91">
        <v>63</v>
      </c>
      <c r="N108" s="91">
        <v>63.4</v>
      </c>
      <c r="O108" s="91">
        <v>62.8</v>
      </c>
      <c r="P108" s="91">
        <v>62.8</v>
      </c>
      <c r="Q108" s="91">
        <v>63.5</v>
      </c>
      <c r="R108" s="91">
        <v>63.6</v>
      </c>
      <c r="S108" s="91">
        <v>63.6</v>
      </c>
      <c r="T108" s="91">
        <v>63.4</v>
      </c>
      <c r="U108" s="91">
        <v>63.2</v>
      </c>
      <c r="V108" s="91">
        <v>63.2</v>
      </c>
      <c r="W108" s="91">
        <v>63</v>
      </c>
      <c r="X108" s="91">
        <v>63</v>
      </c>
      <c r="Y108" s="91">
        <v>63.2</v>
      </c>
      <c r="Z108" s="91">
        <v>64.3</v>
      </c>
      <c r="AA108" s="91">
        <v>64.099999999999994</v>
      </c>
      <c r="AB108" s="91">
        <v>64.400000000000006</v>
      </c>
      <c r="AC108" s="91">
        <v>63.9</v>
      </c>
      <c r="AD108" s="91">
        <v>64.3</v>
      </c>
      <c r="AE108" s="91">
        <v>64.099999999999994</v>
      </c>
      <c r="AF108" s="91">
        <v>64.7</v>
      </c>
      <c r="AG108" s="107"/>
      <c r="AH108" s="47">
        <f t="shared" si="30"/>
        <v>66</v>
      </c>
      <c r="AI108" s="48">
        <f t="shared" si="31"/>
        <v>62.8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30"/>
        <v>0</v>
      </c>
      <c r="AI109" s="48">
        <f t="shared" si="31"/>
        <v>0</v>
      </c>
    </row>
    <row r="110" spans="1:37" ht="15.75" thickBot="1" x14ac:dyDescent="0.3">
      <c r="A110" s="109" t="s">
        <v>118</v>
      </c>
      <c r="B110" s="110">
        <f t="shared" ref="B110:O110" si="62">SUM(B20,B26,B29:B30,B58,B60:B61,B63,B65,B111:B115,B138,B144,B150,B159,B161,B173,B180,B183:B184,B191,B193,B195,B199:B201,B203:B205,B210,B216:B217,B219:B221,B229,B234)</f>
        <v>32</v>
      </c>
      <c r="C110" s="110">
        <f t="shared" si="62"/>
        <v>25.040000000000024</v>
      </c>
      <c r="D110" s="110">
        <f t="shared" si="62"/>
        <v>21.640000000000025</v>
      </c>
      <c r="E110" s="110">
        <f t="shared" si="62"/>
        <v>13.940000000000001</v>
      </c>
      <c r="F110" s="110">
        <f t="shared" si="62"/>
        <v>31.540000000000017</v>
      </c>
      <c r="G110" s="110">
        <f t="shared" si="62"/>
        <v>49.939999999999991</v>
      </c>
      <c r="H110" s="110">
        <f t="shared" si="62"/>
        <v>63.34</v>
      </c>
      <c r="I110" s="110">
        <f t="shared" si="62"/>
        <v>90.740000000000023</v>
      </c>
      <c r="J110" s="110">
        <f t="shared" si="62"/>
        <v>125.83999999999999</v>
      </c>
      <c r="K110" s="110">
        <f t="shared" si="62"/>
        <v>162.94000000000003</v>
      </c>
      <c r="L110" s="110">
        <f t="shared" si="62"/>
        <v>176.73999999999998</v>
      </c>
      <c r="M110" s="110">
        <f t="shared" si="62"/>
        <v>187.23999999999998</v>
      </c>
      <c r="N110" s="110">
        <f t="shared" si="62"/>
        <v>182.84</v>
      </c>
      <c r="O110" s="110">
        <f t="shared" si="62"/>
        <v>204.04000000000002</v>
      </c>
      <c r="P110" s="110">
        <v>42</v>
      </c>
      <c r="Q110" s="110">
        <f t="shared" ref="Q110:AF110" si="63">SUM(Q20,Q26,Q29:Q30,Q58,Q60:Q61,Q63,Q65,Q111:Q115,Q138,Q144,Q150,Q159,Q161,Q173,Q180,Q183:Q184,Q191,Q193,Q195,Q199:Q201,Q203:Q205,Q210,Q216:Q217,Q219:Q221,Q229,Q234)</f>
        <v>203.3</v>
      </c>
      <c r="R110" s="110">
        <f t="shared" si="63"/>
        <v>207.8</v>
      </c>
      <c r="S110" s="110">
        <f t="shared" ref="S110:T110" si="64">SUM(S20,S26,S29:S30,S58,S60:S61,S63,S65,S111:S115,S138,S144,S150,S159,S161,S173,S180,S183:S184,S191,S193,S195,S199:S201,S203:S205,S210,S216:S217,S219:S221,S229,S234)</f>
        <v>210.29999999999998</v>
      </c>
      <c r="T110" s="110">
        <f t="shared" si="64"/>
        <v>217.7</v>
      </c>
      <c r="U110" s="110">
        <f t="shared" ref="U110:V110" si="65">SUM(U20,U26,U29:U30,U58,U60:U61,U63,U65,U111:U115,U138,U144,U150,U159,U161,U173,U180,U183:U184,U191,U193,U195,U199:U201,U203:U205,U210,U216:U217,U219:U221,U229,U234)</f>
        <v>221.10000000000002</v>
      </c>
      <c r="V110" s="110">
        <f t="shared" si="65"/>
        <v>205.7</v>
      </c>
      <c r="W110" s="110">
        <f t="shared" ref="W110:X110" si="66">SUM(W20,W26,W29:W30,W58,W60:W61,W63,W65,W111:W115,W138,W144,W150,W159,W161,W173,W180,W183:W184,W191,W193,W195,W199:W201,W203:W205,W210,W216:W217,W219:W221,W229,W234)</f>
        <v>220.8</v>
      </c>
      <c r="X110" s="110">
        <f t="shared" si="66"/>
        <v>239.70000000000002</v>
      </c>
      <c r="Y110" s="110">
        <f t="shared" ref="Y110:AA110" si="67">SUM(Y20,Y26,Y29:Y30,Y58,Y60:Y61,Y63,Y65,Y111:Y115,Y138,Y144,Y150,Y159,Y161,Y173,Y180,Y183:Y184,Y191,Y193,Y195,Y199:Y201,Y203:Y205,Y210,Y216:Y217,Y219:Y221,Y229,Y234)</f>
        <v>268.5</v>
      </c>
      <c r="Z110" s="110">
        <f t="shared" si="67"/>
        <v>294.10000000000002</v>
      </c>
      <c r="AA110" s="110">
        <f t="shared" si="67"/>
        <v>271.7</v>
      </c>
      <c r="AB110" s="110">
        <f t="shared" si="63"/>
        <v>220.6</v>
      </c>
      <c r="AC110" s="110">
        <f t="shared" si="63"/>
        <v>210.09999999999997</v>
      </c>
      <c r="AD110" s="110"/>
      <c r="AE110" s="110">
        <f t="shared" si="63"/>
        <v>103.60000000000002</v>
      </c>
      <c r="AF110" s="110">
        <f t="shared" si="63"/>
        <v>63.200000000000017</v>
      </c>
      <c r="AG110" s="111"/>
      <c r="AH110" s="47">
        <f t="shared" si="30"/>
        <v>294.10000000000002</v>
      </c>
      <c r="AI110" s="48">
        <f t="shared" si="31"/>
        <v>13.940000000000001</v>
      </c>
    </row>
    <row r="111" spans="1:37" x14ac:dyDescent="0.25">
      <c r="A111" s="99" t="s">
        <v>119</v>
      </c>
      <c r="B111" s="112">
        <v>9.1</v>
      </c>
      <c r="C111" s="112">
        <v>9.3000000000000007</v>
      </c>
      <c r="D111" s="112">
        <v>9.6</v>
      </c>
      <c r="E111" s="112">
        <v>5.6</v>
      </c>
      <c r="F111" s="112">
        <v>8</v>
      </c>
      <c r="G111" s="112">
        <v>15.2</v>
      </c>
      <c r="H111" s="112">
        <v>15.1</v>
      </c>
      <c r="I111" s="112">
        <v>20</v>
      </c>
      <c r="J111" s="112">
        <v>20.7</v>
      </c>
      <c r="K111" s="112">
        <v>30</v>
      </c>
      <c r="L111" s="112">
        <v>32.6</v>
      </c>
      <c r="M111" s="112">
        <v>35.799999999999997</v>
      </c>
      <c r="N111" s="112">
        <v>38.1</v>
      </c>
      <c r="O111" s="112">
        <v>37.299999999999997</v>
      </c>
      <c r="P111" s="112">
        <v>38</v>
      </c>
      <c r="Q111" s="112">
        <v>37.4</v>
      </c>
      <c r="R111" s="112">
        <v>35.700000000000003</v>
      </c>
      <c r="S111" s="112">
        <v>34.5</v>
      </c>
      <c r="T111" s="112">
        <v>32.799999999999997</v>
      </c>
      <c r="U111" s="112">
        <v>35.6</v>
      </c>
      <c r="V111" s="112">
        <v>39.6</v>
      </c>
      <c r="W111" s="112">
        <v>40.299999999999997</v>
      </c>
      <c r="X111" s="112">
        <v>53.4</v>
      </c>
      <c r="Y111" s="112">
        <v>53.4</v>
      </c>
      <c r="Z111" s="112">
        <v>48.2</v>
      </c>
      <c r="AA111" s="112">
        <v>49.1</v>
      </c>
      <c r="AB111" s="112">
        <v>44.9</v>
      </c>
      <c r="AC111" s="112">
        <v>43</v>
      </c>
      <c r="AD111" s="112">
        <v>31.9</v>
      </c>
      <c r="AE111" s="112">
        <v>25.8</v>
      </c>
      <c r="AF111" s="112">
        <v>16</v>
      </c>
      <c r="AG111" s="113">
        <v>75</v>
      </c>
      <c r="AH111" s="47">
        <f t="shared" si="30"/>
        <v>53.4</v>
      </c>
      <c r="AI111" s="48">
        <f t="shared" si="31"/>
        <v>5.6</v>
      </c>
    </row>
    <row r="112" spans="1:37" x14ac:dyDescent="0.25">
      <c r="A112" s="102" t="s">
        <v>120</v>
      </c>
      <c r="B112" s="114">
        <v>15.8</v>
      </c>
      <c r="C112" s="114">
        <v>16.600000000000001</v>
      </c>
      <c r="D112" s="114">
        <v>16.8</v>
      </c>
      <c r="E112" s="114">
        <v>11.2</v>
      </c>
      <c r="F112" s="114">
        <v>14</v>
      </c>
      <c r="G112" s="114">
        <v>18.100000000000001</v>
      </c>
      <c r="H112" s="114">
        <v>18.7</v>
      </c>
      <c r="I112" s="114">
        <v>23.9</v>
      </c>
      <c r="J112" s="114">
        <v>24.3</v>
      </c>
      <c r="K112" s="114">
        <v>36.5</v>
      </c>
      <c r="L112" s="114">
        <v>40.299999999999997</v>
      </c>
      <c r="M112" s="114">
        <v>45.4</v>
      </c>
      <c r="N112" s="114">
        <v>47.9</v>
      </c>
      <c r="O112" s="114">
        <v>45.5</v>
      </c>
      <c r="P112" s="114">
        <v>48.9</v>
      </c>
      <c r="Q112" s="114">
        <v>48.3</v>
      </c>
      <c r="R112" s="114">
        <v>46.7</v>
      </c>
      <c r="S112" s="114">
        <v>44.7</v>
      </c>
      <c r="T112" s="114">
        <v>42.4</v>
      </c>
      <c r="U112" s="114">
        <v>45.4</v>
      </c>
      <c r="V112" s="114">
        <v>52.4</v>
      </c>
      <c r="W112" s="114">
        <v>53.6</v>
      </c>
      <c r="X112" s="114">
        <v>75.5</v>
      </c>
      <c r="Y112" s="114">
        <v>75.900000000000006</v>
      </c>
      <c r="Z112" s="114">
        <v>69.599999999999994</v>
      </c>
      <c r="AA112" s="114">
        <v>70.900000000000006</v>
      </c>
      <c r="AB112" s="114">
        <v>63.6</v>
      </c>
      <c r="AC112" s="114">
        <v>61</v>
      </c>
      <c r="AD112" s="114">
        <v>43.9</v>
      </c>
      <c r="AE112" s="114">
        <v>35</v>
      </c>
      <c r="AF112" s="114">
        <v>24.3</v>
      </c>
      <c r="AG112" s="113">
        <v>240</v>
      </c>
      <c r="AH112" s="47">
        <f t="shared" si="30"/>
        <v>75.900000000000006</v>
      </c>
      <c r="AI112" s="48">
        <f t="shared" si="31"/>
        <v>11.2</v>
      </c>
    </row>
    <row r="113" spans="1:37" x14ac:dyDescent="0.25">
      <c r="A113" s="102" t="s">
        <v>121</v>
      </c>
      <c r="B113" s="114">
        <v>-123</v>
      </c>
      <c r="C113" s="114">
        <v>-140</v>
      </c>
      <c r="D113" s="114">
        <v>-144</v>
      </c>
      <c r="E113" s="114">
        <v>-142</v>
      </c>
      <c r="F113" s="114">
        <v>-131</v>
      </c>
      <c r="G113" s="114">
        <v>-134</v>
      </c>
      <c r="H113" s="114">
        <v>-125.8</v>
      </c>
      <c r="I113" s="114">
        <v>-109.8</v>
      </c>
      <c r="J113" s="114">
        <v>-73.400000000000006</v>
      </c>
      <c r="K113" s="114">
        <v>-66</v>
      </c>
      <c r="L113" s="114">
        <v>-67.2</v>
      </c>
      <c r="M113" s="114">
        <f>-33-35</f>
        <v>-68</v>
      </c>
      <c r="N113" s="114">
        <f>-32-34</f>
        <v>-66</v>
      </c>
      <c r="O113" s="114">
        <f>-32-34</f>
        <v>-66</v>
      </c>
      <c r="P113" s="114">
        <f>-35-36</f>
        <v>-71</v>
      </c>
      <c r="Q113" s="114">
        <f>-34-38</f>
        <v>-72</v>
      </c>
      <c r="R113" s="114">
        <f>-27.1-29.1</f>
        <v>-56.2</v>
      </c>
      <c r="S113" s="114">
        <v>-72</v>
      </c>
      <c r="T113" s="114">
        <v>-56</v>
      </c>
      <c r="U113" s="114">
        <v>-56.8</v>
      </c>
      <c r="V113" s="114">
        <v>-69.8</v>
      </c>
      <c r="W113" s="114">
        <v>-65.8</v>
      </c>
      <c r="X113" s="114">
        <v>-93.5</v>
      </c>
      <c r="Y113" s="114">
        <v>-82.6</v>
      </c>
      <c r="Z113" s="114">
        <v>-82.5</v>
      </c>
      <c r="AA113" s="114">
        <v>-97.8</v>
      </c>
      <c r="AB113" s="114">
        <v>-121.5</v>
      </c>
      <c r="AC113" s="114">
        <v>-126</v>
      </c>
      <c r="AD113" s="114">
        <v>-132</v>
      </c>
      <c r="AE113" s="114">
        <v>-145</v>
      </c>
      <c r="AF113" s="114">
        <v>-130</v>
      </c>
      <c r="AG113" s="113">
        <v>240</v>
      </c>
      <c r="AH113" s="47">
        <f t="shared" si="30"/>
        <v>-56</v>
      </c>
      <c r="AI113" s="48">
        <f t="shared" si="31"/>
        <v>-145</v>
      </c>
    </row>
    <row r="114" spans="1:37" x14ac:dyDescent="0.25">
      <c r="A114" s="102" t="s">
        <v>122</v>
      </c>
      <c r="B114" s="114">
        <v>-8</v>
      </c>
      <c r="C114" s="114">
        <v>-10</v>
      </c>
      <c r="D114" s="114">
        <v>-9.9</v>
      </c>
      <c r="E114" s="114">
        <v>-10</v>
      </c>
      <c r="F114" s="114">
        <v>-8.6</v>
      </c>
      <c r="G114" s="114">
        <v>-8.6</v>
      </c>
      <c r="H114" s="114">
        <v>-3.3</v>
      </c>
      <c r="I114" s="114">
        <v>-2</v>
      </c>
      <c r="J114" s="114">
        <v>6.8</v>
      </c>
      <c r="K114" s="114">
        <v>7.8</v>
      </c>
      <c r="L114" s="114">
        <v>8.1</v>
      </c>
      <c r="M114" s="114">
        <v>7.2</v>
      </c>
      <c r="N114" s="114">
        <v>9.5</v>
      </c>
      <c r="O114" s="114">
        <v>9.8000000000000007</v>
      </c>
      <c r="P114" s="114">
        <v>10</v>
      </c>
      <c r="Q114" s="114">
        <v>10</v>
      </c>
      <c r="R114" s="114">
        <v>11.5</v>
      </c>
      <c r="S114" s="114">
        <v>31.4</v>
      </c>
      <c r="T114" s="114">
        <v>31.4</v>
      </c>
      <c r="U114" s="114">
        <v>34.799999999999997</v>
      </c>
      <c r="V114" s="114">
        <v>22.5</v>
      </c>
      <c r="W114" s="114">
        <v>22.7</v>
      </c>
      <c r="X114" s="114">
        <v>22.4</v>
      </c>
      <c r="Y114" s="114">
        <v>36.1</v>
      </c>
      <c r="Z114" s="114">
        <v>32.799999999999997</v>
      </c>
      <c r="AA114" s="114">
        <v>23.4</v>
      </c>
      <c r="AB114" s="114">
        <v>6.9</v>
      </c>
      <c r="AC114" s="114">
        <v>4.7</v>
      </c>
      <c r="AD114" s="114">
        <v>2.2000000000000002</v>
      </c>
      <c r="AE114" s="114">
        <v>-3.1</v>
      </c>
      <c r="AF114" s="114">
        <v>-3</v>
      </c>
      <c r="AG114" s="113">
        <v>60</v>
      </c>
      <c r="AH114" s="47">
        <f t="shared" si="30"/>
        <v>36.1</v>
      </c>
      <c r="AI114" s="48">
        <f t="shared" si="31"/>
        <v>-10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40.299999999999997</v>
      </c>
      <c r="AA115" s="116">
        <v>40.4</v>
      </c>
      <c r="AB115" s="116">
        <v>41</v>
      </c>
      <c r="AC115" s="116">
        <v>41.7</v>
      </c>
      <c r="AD115" s="116">
        <v>42.1</v>
      </c>
      <c r="AE115" s="116">
        <v>30</v>
      </c>
      <c r="AF115" s="116">
        <v>0</v>
      </c>
      <c r="AG115" s="117">
        <v>120</v>
      </c>
      <c r="AH115" s="47">
        <f t="shared" si="30"/>
        <v>42.1</v>
      </c>
      <c r="AI115" s="48">
        <f t="shared" si="31"/>
        <v>0</v>
      </c>
    </row>
    <row r="116" spans="1:37" x14ac:dyDescent="0.25">
      <c r="A116" s="115" t="s">
        <v>124</v>
      </c>
      <c r="B116" s="116">
        <v>52.2</v>
      </c>
      <c r="C116" s="116">
        <v>47.6</v>
      </c>
      <c r="D116" s="116">
        <v>30.8</v>
      </c>
      <c r="E116" s="116">
        <v>38.200000000000003</v>
      </c>
      <c r="F116" s="116">
        <v>36.5</v>
      </c>
      <c r="G116" s="116">
        <v>43.1</v>
      </c>
      <c r="H116" s="116">
        <v>46</v>
      </c>
      <c r="I116" s="116">
        <v>43.3</v>
      </c>
      <c r="J116" s="116">
        <v>73.5</v>
      </c>
      <c r="K116" s="116">
        <v>60.4</v>
      </c>
      <c r="L116" s="116">
        <v>57.8</v>
      </c>
      <c r="M116" s="116">
        <v>80.7</v>
      </c>
      <c r="N116" s="116">
        <v>77.099999999999994</v>
      </c>
      <c r="O116" s="116">
        <v>72</v>
      </c>
      <c r="P116" s="116">
        <v>62</v>
      </c>
      <c r="Q116" s="116">
        <v>44.5</v>
      </c>
      <c r="R116" s="116">
        <v>55.1</v>
      </c>
      <c r="S116" s="116">
        <v>35.6</v>
      </c>
      <c r="T116" s="116">
        <v>49.7</v>
      </c>
      <c r="U116" s="116">
        <v>53.1</v>
      </c>
      <c r="V116" s="116">
        <v>51.1</v>
      </c>
      <c r="W116" s="116">
        <v>59.7</v>
      </c>
      <c r="X116" s="116">
        <v>21</v>
      </c>
      <c r="Y116" s="116">
        <v>32.799999999999997</v>
      </c>
      <c r="Z116" s="116">
        <v>31.2</v>
      </c>
      <c r="AA116" s="116">
        <v>31.4</v>
      </c>
      <c r="AB116" s="116">
        <v>27.9</v>
      </c>
      <c r="AC116" s="116">
        <v>24</v>
      </c>
      <c r="AD116" s="116">
        <v>37.200000000000003</v>
      </c>
      <c r="AE116" s="116">
        <v>30.6</v>
      </c>
      <c r="AF116" s="116">
        <v>22.1</v>
      </c>
      <c r="AG116" s="117"/>
      <c r="AH116" s="47">
        <f t="shared" si="30"/>
        <v>80.7</v>
      </c>
      <c r="AI116" s="48">
        <f t="shared" si="31"/>
        <v>21</v>
      </c>
    </row>
    <row r="117" spans="1:37" x14ac:dyDescent="0.25">
      <c r="A117" s="115" t="s">
        <v>125</v>
      </c>
      <c r="B117" s="116">
        <v>14.3</v>
      </c>
      <c r="C117" s="116">
        <v>12.6</v>
      </c>
      <c r="D117" s="116">
        <v>7</v>
      </c>
      <c r="E117" s="116">
        <v>13.7</v>
      </c>
      <c r="F117" s="116">
        <v>3.3</v>
      </c>
      <c r="G117" s="116">
        <v>0</v>
      </c>
      <c r="H117" s="116">
        <v>3.6</v>
      </c>
      <c r="I117" s="116">
        <v>-6.6</v>
      </c>
      <c r="J117" s="116">
        <v>4.3</v>
      </c>
      <c r="K117" s="116">
        <v>-23.8</v>
      </c>
      <c r="L117" s="116">
        <v>-20.6</v>
      </c>
      <c r="M117" s="116">
        <v>-31.6</v>
      </c>
      <c r="N117" s="116">
        <v>-47.7</v>
      </c>
      <c r="O117" s="116">
        <v>-49</v>
      </c>
      <c r="P117" s="116">
        <v>-36</v>
      </c>
      <c r="Q117" s="116">
        <v>-45.8</v>
      </c>
      <c r="R117" s="116">
        <v>-35.9</v>
      </c>
      <c r="S117" s="116">
        <v>-30.8</v>
      </c>
      <c r="T117" s="116">
        <v>-14.7</v>
      </c>
      <c r="U117" s="116">
        <v>-22</v>
      </c>
      <c r="V117" s="116">
        <v>-17.600000000000001</v>
      </c>
      <c r="W117" s="116">
        <v>-18.8</v>
      </c>
      <c r="X117" s="116">
        <v>-27.2</v>
      </c>
      <c r="Y117" s="116">
        <v>-26.1</v>
      </c>
      <c r="Z117" s="116">
        <v>-13.8</v>
      </c>
      <c r="AA117" s="116">
        <v>-17.100000000000001</v>
      </c>
      <c r="AB117" s="116">
        <v>-19.100000000000001</v>
      </c>
      <c r="AC117" s="116">
        <v>-25</v>
      </c>
      <c r="AD117" s="116">
        <v>-16</v>
      </c>
      <c r="AE117" s="116">
        <v>-15</v>
      </c>
      <c r="AF117" s="116">
        <v>-16</v>
      </c>
      <c r="AG117" s="118"/>
      <c r="AH117" s="47">
        <f t="shared" si="30"/>
        <v>14.3</v>
      </c>
      <c r="AI117" s="48">
        <f t="shared" si="31"/>
        <v>-49</v>
      </c>
    </row>
    <row r="118" spans="1:37" x14ac:dyDescent="0.25">
      <c r="A118" s="119" t="s">
        <v>126</v>
      </c>
      <c r="B118" s="105">
        <v>50.7</v>
      </c>
      <c r="C118" s="105">
        <v>54.7</v>
      </c>
      <c r="D118" s="105">
        <v>57.1</v>
      </c>
      <c r="E118" s="105">
        <v>35.74</v>
      </c>
      <c r="F118" s="105">
        <v>66.5</v>
      </c>
      <c r="G118" s="105">
        <v>61.2</v>
      </c>
      <c r="H118" s="105">
        <v>58.1</v>
      </c>
      <c r="I118" s="105">
        <v>52.8</v>
      </c>
      <c r="J118" s="105">
        <v>57.2</v>
      </c>
      <c r="K118" s="105">
        <v>60.3</v>
      </c>
      <c r="L118" s="105">
        <v>51.2</v>
      </c>
      <c r="M118" s="105">
        <v>51</v>
      </c>
      <c r="N118" s="105">
        <v>52.5</v>
      </c>
      <c r="O118" s="105">
        <v>48.8</v>
      </c>
      <c r="P118" s="105">
        <v>52</v>
      </c>
      <c r="Q118" s="105">
        <v>46.7</v>
      </c>
      <c r="R118" s="105">
        <v>41.8</v>
      </c>
      <c r="S118" s="105">
        <v>41.8</v>
      </c>
      <c r="T118" s="105">
        <v>48.8</v>
      </c>
      <c r="U118" s="105">
        <v>49.8</v>
      </c>
      <c r="V118" s="105">
        <v>48.9</v>
      </c>
      <c r="W118" s="105">
        <v>48.6</v>
      </c>
      <c r="X118" s="105">
        <v>42.2</v>
      </c>
      <c r="Y118" s="105">
        <v>28.9</v>
      </c>
      <c r="Z118" s="105">
        <v>33.200000000000003</v>
      </c>
      <c r="AA118" s="105">
        <v>34.200000000000003</v>
      </c>
      <c r="AB118" s="105">
        <v>34.200000000000003</v>
      </c>
      <c r="AC118" s="105">
        <v>37.1</v>
      </c>
      <c r="AD118" s="105">
        <v>40.6</v>
      </c>
      <c r="AE118" s="105">
        <v>44.3</v>
      </c>
      <c r="AF118" s="105">
        <v>47.1</v>
      </c>
      <c r="AG118" s="118"/>
      <c r="AH118" s="47">
        <f t="shared" si="30"/>
        <v>66.5</v>
      </c>
      <c r="AI118" s="48">
        <f t="shared" si="31"/>
        <v>28.9</v>
      </c>
    </row>
    <row r="119" spans="1:37" x14ac:dyDescent="0.25">
      <c r="A119" s="120" t="s">
        <v>127</v>
      </c>
      <c r="B119" s="105">
        <v>75</v>
      </c>
      <c r="C119" s="105">
        <v>88.7</v>
      </c>
      <c r="D119" s="105">
        <v>92.5</v>
      </c>
      <c r="E119" s="105">
        <v>89.8</v>
      </c>
      <c r="F119" s="105">
        <v>89.5</v>
      </c>
      <c r="G119" s="105">
        <v>88</v>
      </c>
      <c r="H119" s="105">
        <v>86.5</v>
      </c>
      <c r="I119" s="105">
        <v>73.5</v>
      </c>
      <c r="J119" s="105">
        <v>86</v>
      </c>
      <c r="K119" s="105">
        <v>97.2</v>
      </c>
      <c r="L119" s="105">
        <v>90.9</v>
      </c>
      <c r="M119" s="105">
        <v>92</v>
      </c>
      <c r="N119" s="105">
        <v>92.1</v>
      </c>
      <c r="O119" s="105">
        <v>96.9</v>
      </c>
      <c r="P119" s="105">
        <v>96.1</v>
      </c>
      <c r="Q119" s="105">
        <v>99.3</v>
      </c>
      <c r="R119" s="105">
        <v>93.8</v>
      </c>
      <c r="S119" s="105">
        <v>93.8</v>
      </c>
      <c r="T119" s="105">
        <v>81</v>
      </c>
      <c r="U119" s="105">
        <v>81</v>
      </c>
      <c r="V119" s="105">
        <v>94.6</v>
      </c>
      <c r="W119" s="105">
        <v>87.2</v>
      </c>
      <c r="X119" s="105">
        <v>76.099999999999994</v>
      </c>
      <c r="Y119" s="105">
        <v>68.599999999999994</v>
      </c>
      <c r="Z119" s="105">
        <v>89.6</v>
      </c>
      <c r="AA119" s="105">
        <v>89.8</v>
      </c>
      <c r="AB119" s="105">
        <v>96</v>
      </c>
      <c r="AC119" s="105">
        <v>100.5</v>
      </c>
      <c r="AD119" s="105">
        <v>99.1</v>
      </c>
      <c r="AE119" s="105">
        <v>104</v>
      </c>
      <c r="AF119" s="105">
        <v>92.6</v>
      </c>
      <c r="AG119" s="118"/>
      <c r="AH119" s="47">
        <f t="shared" si="30"/>
        <v>104</v>
      </c>
      <c r="AI119" s="48">
        <f t="shared" si="31"/>
        <v>68.599999999999994</v>
      </c>
    </row>
    <row r="120" spans="1:37" ht="15.75" thickBot="1" x14ac:dyDescent="0.3">
      <c r="A120" s="119" t="s">
        <v>128</v>
      </c>
      <c r="B120" s="105">
        <v>8.6</v>
      </c>
      <c r="C120" s="105">
        <v>5.5</v>
      </c>
      <c r="D120" s="105">
        <v>3.1</v>
      </c>
      <c r="E120" s="105">
        <v>9</v>
      </c>
      <c r="F120" s="105">
        <v>-6.6</v>
      </c>
      <c r="G120" s="105">
        <v>-18.8</v>
      </c>
      <c r="H120" s="105">
        <v>-22.6</v>
      </c>
      <c r="I120" s="105">
        <v>-15</v>
      </c>
      <c r="J120" s="105" t="s">
        <v>282</v>
      </c>
      <c r="K120" s="105">
        <v>61.9</v>
      </c>
      <c r="L120" s="105">
        <v>-0.2</v>
      </c>
      <c r="M120" s="105">
        <v>0.7</v>
      </c>
      <c r="N120" s="105">
        <v>-9.4</v>
      </c>
      <c r="O120" s="105">
        <v>6.8</v>
      </c>
      <c r="P120" s="105">
        <v>14.4</v>
      </c>
      <c r="Q120" s="105">
        <v>7.7</v>
      </c>
      <c r="R120" s="105">
        <v>12.1</v>
      </c>
      <c r="S120" s="105">
        <v>12.1</v>
      </c>
      <c r="T120" s="105">
        <v>13</v>
      </c>
      <c r="U120" s="105">
        <v>6</v>
      </c>
      <c r="V120" s="105">
        <v>1</v>
      </c>
      <c r="W120" s="105">
        <v>0.5</v>
      </c>
      <c r="X120" s="105">
        <v>3.2</v>
      </c>
      <c r="Y120" s="105">
        <v>29.5</v>
      </c>
      <c r="Z120" s="105">
        <v>31.7</v>
      </c>
      <c r="AA120" s="105">
        <v>27.4</v>
      </c>
      <c r="AB120" s="105">
        <v>37</v>
      </c>
      <c r="AC120" s="105">
        <v>43.3</v>
      </c>
      <c r="AD120" s="105">
        <v>37.700000000000003</v>
      </c>
      <c r="AE120" s="105">
        <v>33.299999999999997</v>
      </c>
      <c r="AF120" s="105">
        <v>22.2</v>
      </c>
      <c r="AG120" s="118"/>
      <c r="AH120" s="47">
        <f t="shared" si="30"/>
        <v>61.9</v>
      </c>
      <c r="AI120" s="48">
        <f t="shared" si="31"/>
        <v>-22.6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68">SUM(B122:B226)</f>
        <v>0</v>
      </c>
      <c r="C227" s="136">
        <f t="shared" si="68"/>
        <v>0</v>
      </c>
      <c r="D227" s="136">
        <f t="shared" si="68"/>
        <v>0</v>
      </c>
      <c r="E227" s="136">
        <f t="shared" si="68"/>
        <v>0</v>
      </c>
      <c r="F227" s="136">
        <f t="shared" si="68"/>
        <v>0</v>
      </c>
      <c r="G227" s="136">
        <f t="shared" si="68"/>
        <v>0</v>
      </c>
      <c r="H227" s="136">
        <f t="shared" si="68"/>
        <v>0</v>
      </c>
      <c r="I227" s="136">
        <f t="shared" si="68"/>
        <v>0</v>
      </c>
      <c r="J227" s="136">
        <f t="shared" si="68"/>
        <v>0</v>
      </c>
      <c r="K227" s="136">
        <f t="shared" si="68"/>
        <v>0</v>
      </c>
      <c r="L227" s="136">
        <f t="shared" si="68"/>
        <v>0</v>
      </c>
      <c r="M227" s="136">
        <f t="shared" si="68"/>
        <v>0</v>
      </c>
      <c r="N227" s="136">
        <f t="shared" si="68"/>
        <v>0</v>
      </c>
      <c r="O227" s="136">
        <f t="shared" si="68"/>
        <v>0</v>
      </c>
      <c r="P227" s="136">
        <f t="shared" si="68"/>
        <v>0</v>
      </c>
      <c r="Q227" s="136">
        <f t="shared" si="68"/>
        <v>0</v>
      </c>
      <c r="R227" s="136">
        <f t="shared" si="68"/>
        <v>0</v>
      </c>
      <c r="S227" s="136">
        <f t="shared" si="68"/>
        <v>0</v>
      </c>
      <c r="T227" s="136">
        <f t="shared" si="68"/>
        <v>0</v>
      </c>
      <c r="U227" s="136">
        <f t="shared" si="68"/>
        <v>0</v>
      </c>
      <c r="V227" s="136">
        <f t="shared" si="68"/>
        <v>0</v>
      </c>
      <c r="W227" s="136">
        <f t="shared" si="68"/>
        <v>0</v>
      </c>
      <c r="X227" s="136">
        <f t="shared" si="68"/>
        <v>0</v>
      </c>
      <c r="Y227" s="136">
        <f t="shared" si="68"/>
        <v>0</v>
      </c>
      <c r="Z227" s="136">
        <f t="shared" si="68"/>
        <v>0</v>
      </c>
      <c r="AA227" s="136">
        <f t="shared" si="68"/>
        <v>0</v>
      </c>
      <c r="AB227" s="136">
        <f t="shared" si="68"/>
        <v>0</v>
      </c>
      <c r="AC227" s="136">
        <f t="shared" si="68"/>
        <v>0</v>
      </c>
      <c r="AD227" s="136">
        <f t="shared" si="68"/>
        <v>0</v>
      </c>
      <c r="AE227" s="136">
        <f t="shared" si="68"/>
        <v>0</v>
      </c>
      <c r="AF227" s="137">
        <f t="shared" si="68"/>
        <v>0</v>
      </c>
      <c r="AG227" s="138">
        <f t="shared" si="6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69">AF229</f>
        <v>0</v>
      </c>
      <c r="C229" s="140">
        <v>0.3</v>
      </c>
      <c r="D229" s="140">
        <f t="shared" ref="D229:P234" si="70">C229</f>
        <v>0.3</v>
      </c>
      <c r="E229" s="140">
        <f t="shared" si="70"/>
        <v>0.3</v>
      </c>
      <c r="F229" s="140">
        <f t="shared" si="70"/>
        <v>0.3</v>
      </c>
      <c r="G229" s="140">
        <f t="shared" si="70"/>
        <v>0.3</v>
      </c>
      <c r="H229" s="140">
        <f t="shared" si="70"/>
        <v>0.3</v>
      </c>
      <c r="I229" s="140">
        <f t="shared" si="70"/>
        <v>0.3</v>
      </c>
      <c r="J229" s="140">
        <f t="shared" si="70"/>
        <v>0.3</v>
      </c>
      <c r="K229" s="140">
        <f t="shared" si="70"/>
        <v>0.3</v>
      </c>
      <c r="L229" s="140">
        <f t="shared" si="70"/>
        <v>0.3</v>
      </c>
      <c r="M229" s="140">
        <f t="shared" si="70"/>
        <v>0.3</v>
      </c>
      <c r="N229" s="140">
        <f t="shared" si="70"/>
        <v>0.3</v>
      </c>
      <c r="O229" s="140">
        <f t="shared" si="70"/>
        <v>0.3</v>
      </c>
      <c r="P229" s="140">
        <f t="shared" si="7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69"/>
        <v>0</v>
      </c>
      <c r="C230" s="128">
        <v>0.4</v>
      </c>
      <c r="D230" s="128">
        <f t="shared" si="70"/>
        <v>0.4</v>
      </c>
      <c r="E230" s="128">
        <f t="shared" si="70"/>
        <v>0.4</v>
      </c>
      <c r="F230" s="128">
        <f t="shared" si="70"/>
        <v>0.4</v>
      </c>
      <c r="G230" s="128">
        <f t="shared" si="70"/>
        <v>0.4</v>
      </c>
      <c r="H230" s="128">
        <f t="shared" si="70"/>
        <v>0.4</v>
      </c>
      <c r="I230" s="128">
        <f t="shared" si="70"/>
        <v>0.4</v>
      </c>
      <c r="J230" s="128">
        <f t="shared" si="70"/>
        <v>0.4</v>
      </c>
      <c r="K230" s="128">
        <f t="shared" si="70"/>
        <v>0.4</v>
      </c>
      <c r="L230" s="128">
        <f t="shared" si="70"/>
        <v>0.4</v>
      </c>
      <c r="M230" s="128">
        <f t="shared" si="70"/>
        <v>0.4</v>
      </c>
      <c r="N230" s="128">
        <f t="shared" si="70"/>
        <v>0.4</v>
      </c>
      <c r="O230" s="128">
        <f t="shared" si="70"/>
        <v>0.4</v>
      </c>
      <c r="P230" s="128">
        <f t="shared" si="7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69"/>
        <v>0</v>
      </c>
      <c r="C231" s="128">
        <v>1.5</v>
      </c>
      <c r="D231" s="128">
        <f t="shared" si="70"/>
        <v>1.5</v>
      </c>
      <c r="E231" s="128">
        <f t="shared" si="70"/>
        <v>1.5</v>
      </c>
      <c r="F231" s="128">
        <f t="shared" si="70"/>
        <v>1.5</v>
      </c>
      <c r="G231" s="128">
        <f t="shared" si="70"/>
        <v>1.5</v>
      </c>
      <c r="H231" s="128">
        <f t="shared" si="7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70"/>
        <v>123.21900000000009</v>
      </c>
      <c r="K231" s="128">
        <f t="shared" ca="1" si="70"/>
        <v>123.21900000000009</v>
      </c>
      <c r="L231" s="128">
        <f t="shared" ca="1" si="70"/>
        <v>123.21900000000009</v>
      </c>
      <c r="M231" s="128">
        <f t="shared" ca="1" si="70"/>
        <v>119.19900000000008</v>
      </c>
      <c r="N231" s="128">
        <f t="shared" ca="1" si="70"/>
        <v>119.19900000000008</v>
      </c>
      <c r="O231" s="128">
        <f t="shared" ca="1" si="70"/>
        <v>119.19900000000008</v>
      </c>
      <c r="P231" s="128">
        <f t="shared" ca="1" si="7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69"/>
        <v>0</v>
      </c>
      <c r="C232" s="128">
        <v>0.3</v>
      </c>
      <c r="D232" s="128">
        <f t="shared" si="70"/>
        <v>0.3</v>
      </c>
      <c r="E232" s="128">
        <f t="shared" si="70"/>
        <v>0.3</v>
      </c>
      <c r="F232" s="128">
        <f t="shared" si="70"/>
        <v>0.3</v>
      </c>
      <c r="G232" s="128">
        <f t="shared" si="70"/>
        <v>0.3</v>
      </c>
      <c r="H232" s="128">
        <f t="shared" si="70"/>
        <v>0.3</v>
      </c>
      <c r="I232" s="128">
        <f t="shared" si="70"/>
        <v>0.3</v>
      </c>
      <c r="J232" s="128">
        <f t="shared" si="70"/>
        <v>0.3</v>
      </c>
      <c r="K232" s="128">
        <f t="shared" si="70"/>
        <v>0.3</v>
      </c>
      <c r="L232" s="128">
        <f t="shared" si="70"/>
        <v>0.3</v>
      </c>
      <c r="M232" s="128">
        <f t="shared" si="70"/>
        <v>0.3</v>
      </c>
      <c r="N232" s="128">
        <f t="shared" si="70"/>
        <v>0.3</v>
      </c>
      <c r="O232" s="128">
        <f t="shared" si="70"/>
        <v>0.3</v>
      </c>
      <c r="P232" s="128">
        <f t="shared" si="7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69"/>
        <v>0</v>
      </c>
      <c r="C233" s="128">
        <v>0.4</v>
      </c>
      <c r="D233" s="128">
        <f t="shared" si="70"/>
        <v>0.4</v>
      </c>
      <c r="E233" s="128">
        <f t="shared" si="70"/>
        <v>0.4</v>
      </c>
      <c r="F233" s="128">
        <f t="shared" si="70"/>
        <v>0.4</v>
      </c>
      <c r="G233" s="128">
        <f t="shared" si="70"/>
        <v>0.4</v>
      </c>
      <c r="H233" s="128">
        <f t="shared" si="70"/>
        <v>0.4</v>
      </c>
      <c r="I233" s="128">
        <f t="shared" si="70"/>
        <v>0.4</v>
      </c>
      <c r="J233" s="128">
        <f t="shared" si="70"/>
        <v>0.4</v>
      </c>
      <c r="K233" s="128">
        <f t="shared" si="70"/>
        <v>0.4</v>
      </c>
      <c r="L233" s="128">
        <f t="shared" si="70"/>
        <v>0.4</v>
      </c>
      <c r="M233" s="128">
        <f t="shared" si="70"/>
        <v>0.4</v>
      </c>
      <c r="N233" s="128">
        <f t="shared" si="70"/>
        <v>0.4</v>
      </c>
      <c r="O233" s="128">
        <f t="shared" si="70"/>
        <v>0.4</v>
      </c>
      <c r="P233" s="128">
        <f t="shared" si="7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69"/>
        <v>0</v>
      </c>
      <c r="C234" s="132">
        <v>0.64</v>
      </c>
      <c r="D234" s="132">
        <f t="shared" si="70"/>
        <v>0.64</v>
      </c>
      <c r="E234" s="132">
        <f t="shared" si="70"/>
        <v>0.64</v>
      </c>
      <c r="F234" s="132">
        <f t="shared" si="70"/>
        <v>0.64</v>
      </c>
      <c r="G234" s="132">
        <f t="shared" si="70"/>
        <v>0.64</v>
      </c>
      <c r="H234" s="132">
        <f t="shared" si="70"/>
        <v>0.64</v>
      </c>
      <c r="I234" s="132">
        <f t="shared" si="70"/>
        <v>0.64</v>
      </c>
      <c r="J234" s="132">
        <f t="shared" si="70"/>
        <v>0.64</v>
      </c>
      <c r="K234" s="132">
        <f t="shared" si="70"/>
        <v>0.64</v>
      </c>
      <c r="L234" s="132">
        <f t="shared" si="70"/>
        <v>0.64</v>
      </c>
      <c r="M234" s="132">
        <f t="shared" si="70"/>
        <v>0.64</v>
      </c>
      <c r="N234" s="132">
        <f t="shared" si="70"/>
        <v>0.64</v>
      </c>
      <c r="O234" s="132">
        <f t="shared" si="70"/>
        <v>0.64</v>
      </c>
      <c r="P234" s="132">
        <f t="shared" si="7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71">SUM(B229:B234)</f>
        <v>0</v>
      </c>
      <c r="C235" s="136">
        <f t="shared" si="71"/>
        <v>3.54</v>
      </c>
      <c r="D235" s="136">
        <f t="shared" si="71"/>
        <v>3.54</v>
      </c>
      <c r="E235" s="136">
        <f t="shared" si="71"/>
        <v>3.54</v>
      </c>
      <c r="F235" s="136">
        <f t="shared" si="71"/>
        <v>3.54</v>
      </c>
      <c r="G235" s="136">
        <f t="shared" si="71"/>
        <v>3.54</v>
      </c>
      <c r="H235" s="136">
        <f t="shared" si="71"/>
        <v>3.54</v>
      </c>
      <c r="I235" s="136">
        <f t="shared" ca="1" si="71"/>
        <v>121.23900000000009</v>
      </c>
      <c r="J235" s="136">
        <f t="shared" ca="1" si="71"/>
        <v>121.23900000000009</v>
      </c>
      <c r="K235" s="136">
        <f t="shared" ca="1" si="71"/>
        <v>121.23900000000009</v>
      </c>
      <c r="L235" s="136">
        <f t="shared" ca="1" si="71"/>
        <v>125.2590000000001</v>
      </c>
      <c r="M235" s="136">
        <f t="shared" ca="1" si="71"/>
        <v>121.23900000000009</v>
      </c>
      <c r="N235" s="136">
        <f t="shared" ca="1" si="71"/>
        <v>121.23900000000009</v>
      </c>
      <c r="O235" s="136">
        <f t="shared" ca="1" si="71"/>
        <v>121.23900000000009</v>
      </c>
      <c r="P235" s="136">
        <f t="shared" ca="1" si="71"/>
        <v>121.23900000000009</v>
      </c>
      <c r="Q235" s="136">
        <f t="shared" si="71"/>
        <v>0</v>
      </c>
      <c r="R235" s="136">
        <f t="shared" si="71"/>
        <v>0</v>
      </c>
      <c r="S235" s="136">
        <f t="shared" si="71"/>
        <v>0</v>
      </c>
      <c r="T235" s="136">
        <f t="shared" si="71"/>
        <v>0</v>
      </c>
      <c r="U235" s="136">
        <f t="shared" si="71"/>
        <v>0</v>
      </c>
      <c r="V235" s="136">
        <f t="shared" si="71"/>
        <v>0</v>
      </c>
      <c r="W235" s="136">
        <f t="shared" si="71"/>
        <v>0</v>
      </c>
      <c r="X235" s="136">
        <f t="shared" si="71"/>
        <v>0</v>
      </c>
      <c r="Y235" s="136">
        <f t="shared" si="71"/>
        <v>0</v>
      </c>
      <c r="Z235" s="136">
        <f t="shared" si="71"/>
        <v>0</v>
      </c>
      <c r="AA235" s="136">
        <f t="shared" si="71"/>
        <v>0</v>
      </c>
      <c r="AB235" s="136">
        <f t="shared" si="71"/>
        <v>0</v>
      </c>
      <c r="AC235" s="136">
        <f t="shared" si="71"/>
        <v>0</v>
      </c>
      <c r="AD235" s="136">
        <f t="shared" si="71"/>
        <v>0</v>
      </c>
      <c r="AE235" s="136">
        <f t="shared" si="71"/>
        <v>0</v>
      </c>
      <c r="AF235" s="136">
        <f t="shared" si="71"/>
        <v>0</v>
      </c>
      <c r="AG235" s="145">
        <f t="shared" si="7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2046.54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72">B91</f>
        <v>1943.94</v>
      </c>
      <c r="U249" s="170">
        <f t="shared" si="72"/>
        <v>1995.8400000000001</v>
      </c>
      <c r="V249" s="170">
        <f t="shared" si="72"/>
        <v>1932.14</v>
      </c>
      <c r="W249" s="170">
        <f t="shared" si="72"/>
        <v>1987.8400000000001</v>
      </c>
      <c r="X249" s="170">
        <f t="shared" si="72"/>
        <v>1969.44</v>
      </c>
      <c r="Y249" s="170">
        <f t="shared" si="72"/>
        <v>1985.5400000000002</v>
      </c>
      <c r="Z249" s="170">
        <f t="shared" si="72"/>
        <v>1987.64</v>
      </c>
      <c r="AA249" s="170">
        <f t="shared" si="72"/>
        <v>2011.3400000000001</v>
      </c>
      <c r="AB249" s="170">
        <f t="shared" si="72"/>
        <v>1992.2400000000002</v>
      </c>
      <c r="AC249" s="170">
        <f t="shared" si="72"/>
        <v>2029.3400000000001</v>
      </c>
      <c r="AD249" s="170">
        <f t="shared" si="72"/>
        <v>2046.54</v>
      </c>
      <c r="AE249" s="170">
        <f t="shared" si="72"/>
        <v>2031.2400000000002</v>
      </c>
      <c r="AF249" s="170">
        <f t="shared" si="72"/>
        <v>2017.6400000000003</v>
      </c>
      <c r="AG249" s="170">
        <f t="shared" si="72"/>
        <v>2040.64</v>
      </c>
      <c r="AH249" s="170">
        <f t="shared" si="72"/>
        <v>2109.2400000000002</v>
      </c>
      <c r="AI249" s="170">
        <f t="shared" si="72"/>
        <v>2107.44</v>
      </c>
      <c r="AJ249" s="170">
        <f t="shared" si="72"/>
        <v>2074.7399999999998</v>
      </c>
      <c r="AK249" s="170">
        <f t="shared" si="72"/>
        <v>2090.44</v>
      </c>
      <c r="AL249" s="170">
        <f t="shared" si="72"/>
        <v>2072.2399999999998</v>
      </c>
      <c r="AM249" s="170">
        <f t="shared" si="72"/>
        <v>2058.84</v>
      </c>
      <c r="AN249" s="170">
        <f t="shared" si="72"/>
        <v>2061.7399999999998</v>
      </c>
      <c r="AO249" s="170">
        <f t="shared" si="72"/>
        <v>2092.6400000000003</v>
      </c>
      <c r="AP249" s="170">
        <f t="shared" si="72"/>
        <v>2136.1400000000003</v>
      </c>
      <c r="AQ249" s="170">
        <f t="shared" si="72"/>
        <v>2197.84</v>
      </c>
      <c r="AR249" s="170">
        <f t="shared" si="72"/>
        <v>2259.9400000000005</v>
      </c>
      <c r="AS249" s="170">
        <f t="shared" si="72"/>
        <v>2225.14</v>
      </c>
      <c r="AT249" s="170">
        <f t="shared" si="72"/>
        <v>2111.2399999999998</v>
      </c>
      <c r="AU249" s="170">
        <f t="shared" si="72"/>
        <v>2104.3399999999997</v>
      </c>
      <c r="AV249" s="170">
        <f t="shared" si="72"/>
        <v>2064.44</v>
      </c>
      <c r="AW249" s="170">
        <f t="shared" si="72"/>
        <v>2060.54</v>
      </c>
      <c r="AX249" s="170">
        <f t="shared" si="72"/>
        <v>2034.94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73">C234</f>
        <v>0.64</v>
      </c>
      <c r="C270" s="173">
        <f t="shared" si="73"/>
        <v>0.64</v>
      </c>
      <c r="D270" s="173">
        <f t="shared" si="73"/>
        <v>0.64</v>
      </c>
      <c r="E270" s="173">
        <f t="shared" si="73"/>
        <v>0.64</v>
      </c>
      <c r="F270" s="173">
        <f t="shared" si="73"/>
        <v>0.64</v>
      </c>
      <c r="G270" s="173">
        <f t="shared" si="73"/>
        <v>0.64</v>
      </c>
      <c r="H270" s="173">
        <f t="shared" si="73"/>
        <v>0.64</v>
      </c>
      <c r="I270" s="173">
        <f t="shared" si="73"/>
        <v>0.64</v>
      </c>
      <c r="J270" s="173">
        <f t="shared" si="73"/>
        <v>0.64</v>
      </c>
      <c r="K270" s="173">
        <f t="shared" si="73"/>
        <v>0.64</v>
      </c>
      <c r="L270" s="173">
        <f t="shared" si="73"/>
        <v>0.64</v>
      </c>
      <c r="M270" s="173">
        <f t="shared" si="73"/>
        <v>0.64</v>
      </c>
      <c r="N270" s="173">
        <f t="shared" si="73"/>
        <v>0.64</v>
      </c>
      <c r="O270" s="173">
        <f t="shared" si="73"/>
        <v>0.64</v>
      </c>
      <c r="P270" s="173">
        <f t="shared" si="73"/>
        <v>0</v>
      </c>
      <c r="Q270" s="173">
        <f t="shared" si="73"/>
        <v>0</v>
      </c>
      <c r="R270" s="173">
        <f t="shared" si="73"/>
        <v>0</v>
      </c>
      <c r="S270" s="173">
        <f t="shared" si="73"/>
        <v>0</v>
      </c>
      <c r="T270" s="173">
        <f t="shared" si="73"/>
        <v>0</v>
      </c>
      <c r="U270" s="173">
        <f t="shared" si="73"/>
        <v>0</v>
      </c>
      <c r="V270" s="173">
        <f t="shared" si="73"/>
        <v>0</v>
      </c>
      <c r="W270" s="173">
        <f t="shared" si="73"/>
        <v>0</v>
      </c>
      <c r="X270" s="173">
        <f t="shared" si="73"/>
        <v>0</v>
      </c>
      <c r="Y270" s="173">
        <f t="shared" si="73"/>
        <v>0</v>
      </c>
      <c r="Z270" s="173">
        <f t="shared" si="73"/>
        <v>0</v>
      </c>
      <c r="AA270" s="173">
        <f t="shared" si="73"/>
        <v>0</v>
      </c>
      <c r="AB270" s="173">
        <f t="shared" si="73"/>
        <v>0</v>
      </c>
      <c r="AC270" s="173">
        <f t="shared" si="73"/>
        <v>0</v>
      </c>
      <c r="AD270" s="173">
        <f t="shared" si="73"/>
        <v>0</v>
      </c>
      <c r="AE270" s="173">
        <f t="shared" si="7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74">IF(B238&lt;100,"",B238-520)</f>
        <v/>
      </c>
      <c r="C271" s="174" t="str">
        <f t="shared" si="74"/>
        <v/>
      </c>
      <c r="D271" s="174" t="str">
        <f t="shared" si="74"/>
        <v/>
      </c>
      <c r="E271" s="174" t="str">
        <f t="shared" si="74"/>
        <v/>
      </c>
      <c r="F271" s="174" t="str">
        <f t="shared" si="74"/>
        <v/>
      </c>
      <c r="G271" s="174" t="str">
        <f t="shared" si="74"/>
        <v/>
      </c>
      <c r="H271" s="174" t="str">
        <f t="shared" si="74"/>
        <v/>
      </c>
      <c r="I271" s="174" t="str">
        <f t="shared" si="74"/>
        <v/>
      </c>
      <c r="J271" s="174" t="str">
        <f t="shared" si="74"/>
        <v/>
      </c>
      <c r="K271" s="174" t="str">
        <f t="shared" si="74"/>
        <v/>
      </c>
      <c r="L271" s="174" t="str">
        <f t="shared" si="74"/>
        <v/>
      </c>
      <c r="M271" s="174" t="str">
        <f t="shared" si="74"/>
        <v/>
      </c>
      <c r="N271" s="174" t="str">
        <f t="shared" si="74"/>
        <v/>
      </c>
      <c r="O271" s="174" t="str">
        <f t="shared" si="74"/>
        <v/>
      </c>
      <c r="P271" s="174" t="str">
        <f t="shared" si="74"/>
        <v/>
      </c>
      <c r="Q271" s="174" t="str">
        <f t="shared" si="74"/>
        <v/>
      </c>
      <c r="R271" s="174" t="str">
        <f t="shared" si="74"/>
        <v/>
      </c>
      <c r="S271" s="174" t="str">
        <f t="shared" si="74"/>
        <v/>
      </c>
      <c r="T271" s="174" t="str">
        <f t="shared" si="74"/>
        <v/>
      </c>
      <c r="U271" s="174" t="str">
        <f t="shared" si="74"/>
        <v/>
      </c>
      <c r="V271" s="174" t="str">
        <f t="shared" si="74"/>
        <v/>
      </c>
      <c r="W271" s="174" t="str">
        <f t="shared" si="74"/>
        <v/>
      </c>
      <c r="X271" s="174" t="str">
        <f t="shared" si="74"/>
        <v/>
      </c>
      <c r="Y271" s="174" t="str">
        <f t="shared" si="74"/>
        <v/>
      </c>
      <c r="Z271" s="174" t="str">
        <f t="shared" si="74"/>
        <v/>
      </c>
      <c r="AA271" s="174" t="str">
        <f t="shared" si="74"/>
        <v/>
      </c>
      <c r="AB271" s="174" t="str">
        <f t="shared" si="74"/>
        <v/>
      </c>
      <c r="AC271" s="174" t="str">
        <f t="shared" si="74"/>
        <v/>
      </c>
      <c r="AD271" s="174" t="str">
        <f t="shared" si="74"/>
        <v/>
      </c>
      <c r="AE271" s="174" t="str">
        <f t="shared" si="74"/>
        <v/>
      </c>
      <c r="AF271" s="174" t="str">
        <f t="shared" si="7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75">IF(B239&lt;100,"",B239-620)</f>
        <v/>
      </c>
      <c r="C272" s="174" t="str">
        <f t="shared" si="75"/>
        <v/>
      </c>
      <c r="D272" s="174" t="str">
        <f t="shared" si="75"/>
        <v/>
      </c>
      <c r="E272" s="174" t="str">
        <f t="shared" si="75"/>
        <v/>
      </c>
      <c r="F272" s="174" t="str">
        <f t="shared" si="75"/>
        <v/>
      </c>
      <c r="G272" s="174" t="str">
        <f t="shared" si="75"/>
        <v/>
      </c>
      <c r="H272" s="174" t="str">
        <f t="shared" si="75"/>
        <v/>
      </c>
      <c r="I272" s="174" t="str">
        <f t="shared" si="75"/>
        <v/>
      </c>
      <c r="J272" s="174" t="str">
        <f t="shared" si="75"/>
        <v/>
      </c>
      <c r="K272" s="174" t="str">
        <f t="shared" si="75"/>
        <v/>
      </c>
      <c r="L272" s="174" t="str">
        <f t="shared" si="75"/>
        <v/>
      </c>
      <c r="M272" s="174" t="str">
        <f t="shared" si="75"/>
        <v/>
      </c>
      <c r="N272" s="174" t="str">
        <f t="shared" si="75"/>
        <v/>
      </c>
      <c r="O272" s="174" t="str">
        <f t="shared" si="75"/>
        <v/>
      </c>
      <c r="P272" s="174" t="str">
        <f t="shared" si="75"/>
        <v/>
      </c>
      <c r="Q272" s="174" t="str">
        <f t="shared" si="75"/>
        <v/>
      </c>
      <c r="R272" s="174" t="str">
        <f t="shared" si="75"/>
        <v/>
      </c>
      <c r="S272" s="174" t="str">
        <f t="shared" si="75"/>
        <v/>
      </c>
      <c r="T272" s="174" t="str">
        <f t="shared" si="75"/>
        <v/>
      </c>
      <c r="U272" s="174" t="str">
        <f t="shared" si="75"/>
        <v/>
      </c>
      <c r="V272" s="174" t="str">
        <f t="shared" si="75"/>
        <v/>
      </c>
      <c r="W272" s="174" t="str">
        <f t="shared" si="75"/>
        <v/>
      </c>
      <c r="X272" s="174" t="str">
        <f t="shared" si="75"/>
        <v/>
      </c>
      <c r="Y272" s="174" t="str">
        <f t="shared" si="75"/>
        <v/>
      </c>
      <c r="Z272" s="174" t="str">
        <f t="shared" si="75"/>
        <v/>
      </c>
      <c r="AA272" s="174" t="str">
        <f t="shared" si="75"/>
        <v/>
      </c>
      <c r="AB272" s="174" t="str">
        <f t="shared" si="75"/>
        <v/>
      </c>
      <c r="AC272" s="174" t="str">
        <f t="shared" si="75"/>
        <v/>
      </c>
      <c r="AD272" s="174" t="str">
        <f t="shared" si="75"/>
        <v/>
      </c>
      <c r="AE272" s="174" t="str">
        <f t="shared" si="75"/>
        <v/>
      </c>
      <c r="AF272" s="174" t="str">
        <f t="shared" si="7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76">IF(B240&lt;100,"",B240-330)</f>
        <v/>
      </c>
      <c r="C273" s="174" t="str">
        <f t="shared" si="76"/>
        <v/>
      </c>
      <c r="D273" s="174" t="str">
        <f t="shared" si="76"/>
        <v/>
      </c>
      <c r="E273" s="174" t="str">
        <f t="shared" si="76"/>
        <v/>
      </c>
      <c r="F273" s="174" t="str">
        <f t="shared" si="76"/>
        <v/>
      </c>
      <c r="G273" s="174" t="str">
        <f t="shared" si="76"/>
        <v/>
      </c>
      <c r="H273" s="174" t="str">
        <f t="shared" si="76"/>
        <v/>
      </c>
      <c r="I273" s="174" t="str">
        <f t="shared" si="76"/>
        <v/>
      </c>
      <c r="J273" s="174" t="str">
        <f t="shared" si="76"/>
        <v/>
      </c>
      <c r="K273" s="174" t="str">
        <f t="shared" si="76"/>
        <v/>
      </c>
      <c r="L273" s="174" t="str">
        <f t="shared" si="76"/>
        <v/>
      </c>
      <c r="M273" s="174" t="str">
        <f t="shared" si="76"/>
        <v/>
      </c>
      <c r="N273" s="174" t="str">
        <f t="shared" si="76"/>
        <v/>
      </c>
      <c r="O273" s="174" t="str">
        <f t="shared" si="76"/>
        <v/>
      </c>
      <c r="P273" s="174" t="str">
        <f t="shared" si="76"/>
        <v/>
      </c>
      <c r="Q273" s="174" t="str">
        <f t="shared" si="76"/>
        <v/>
      </c>
      <c r="R273" s="174" t="str">
        <f t="shared" si="76"/>
        <v/>
      </c>
      <c r="S273" s="174" t="str">
        <f t="shared" si="76"/>
        <v/>
      </c>
      <c r="T273" s="174" t="str">
        <f t="shared" si="76"/>
        <v/>
      </c>
      <c r="U273" s="174" t="str">
        <f t="shared" si="76"/>
        <v/>
      </c>
      <c r="V273" s="174" t="str">
        <f t="shared" si="76"/>
        <v/>
      </c>
      <c r="W273" s="174" t="str">
        <f t="shared" si="76"/>
        <v/>
      </c>
      <c r="X273" s="174" t="str">
        <f t="shared" si="76"/>
        <v/>
      </c>
      <c r="Y273" s="174" t="str">
        <f t="shared" si="76"/>
        <v/>
      </c>
      <c r="Z273" s="174" t="str">
        <f t="shared" si="76"/>
        <v/>
      </c>
      <c r="AA273" s="174" t="str">
        <f t="shared" si="76"/>
        <v/>
      </c>
      <c r="AB273" s="174" t="str">
        <f t="shared" si="76"/>
        <v/>
      </c>
      <c r="AC273" s="174" t="str">
        <f t="shared" si="76"/>
        <v/>
      </c>
      <c r="AD273" s="174" t="str">
        <f t="shared" si="76"/>
        <v/>
      </c>
      <c r="AE273" s="174" t="str">
        <f t="shared" si="76"/>
        <v/>
      </c>
      <c r="AF273" s="174" t="str">
        <f t="shared" si="7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77">IF(B241&lt;100,"",B241-1500)</f>
        <v/>
      </c>
      <c r="C274" s="174" t="str">
        <f t="shared" si="77"/>
        <v/>
      </c>
      <c r="D274" s="174" t="str">
        <f t="shared" si="77"/>
        <v/>
      </c>
      <c r="E274" s="174" t="str">
        <f t="shared" si="77"/>
        <v/>
      </c>
      <c r="F274" s="174" t="str">
        <f t="shared" si="77"/>
        <v/>
      </c>
      <c r="G274" s="174" t="str">
        <f t="shared" si="77"/>
        <v/>
      </c>
      <c r="H274" s="174" t="str">
        <f t="shared" si="77"/>
        <v/>
      </c>
      <c r="I274" s="174" t="str">
        <f t="shared" si="77"/>
        <v/>
      </c>
      <c r="J274" s="174" t="str">
        <f t="shared" si="77"/>
        <v/>
      </c>
      <c r="K274" s="174" t="str">
        <f t="shared" si="77"/>
        <v/>
      </c>
      <c r="L274" s="174" t="str">
        <f t="shared" si="77"/>
        <v/>
      </c>
      <c r="M274" s="174" t="str">
        <f t="shared" si="77"/>
        <v/>
      </c>
      <c r="N274" s="174" t="str">
        <f t="shared" si="77"/>
        <v/>
      </c>
      <c r="O274" s="174" t="str">
        <f t="shared" si="77"/>
        <v/>
      </c>
      <c r="P274" s="174" t="str">
        <f t="shared" si="77"/>
        <v/>
      </c>
      <c r="Q274" s="174" t="str">
        <f t="shared" si="77"/>
        <v/>
      </c>
      <c r="R274" s="174" t="str">
        <f t="shared" si="77"/>
        <v/>
      </c>
      <c r="S274" s="174" t="str">
        <f t="shared" si="77"/>
        <v/>
      </c>
      <c r="T274" s="174" t="str">
        <f t="shared" si="77"/>
        <v/>
      </c>
      <c r="U274" s="174" t="str">
        <f t="shared" si="77"/>
        <v/>
      </c>
      <c r="V274" s="174" t="str">
        <f t="shared" si="77"/>
        <v/>
      </c>
      <c r="W274" s="174" t="str">
        <f t="shared" si="77"/>
        <v/>
      </c>
      <c r="X274" s="174" t="str">
        <f t="shared" si="77"/>
        <v/>
      </c>
      <c r="Y274" s="174" t="str">
        <f t="shared" si="77"/>
        <v/>
      </c>
      <c r="Z274" s="174" t="str">
        <f t="shared" si="77"/>
        <v/>
      </c>
      <c r="AA274" s="174" t="str">
        <f t="shared" si="77"/>
        <v/>
      </c>
      <c r="AB274" s="174" t="str">
        <f t="shared" si="77"/>
        <v/>
      </c>
      <c r="AC274" s="174" t="str">
        <f t="shared" si="77"/>
        <v/>
      </c>
      <c r="AD274" s="174" t="str">
        <f t="shared" si="77"/>
        <v/>
      </c>
      <c r="AE274" s="174" t="str">
        <f t="shared" si="77"/>
        <v/>
      </c>
      <c r="AF274" s="174" t="str">
        <f t="shared" si="7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217" priority="64">
      <formula>$AH11=0</formula>
    </cfRule>
  </conditionalFormatting>
  <conditionalFormatting sqref="B8 M8 S8 AB8">
    <cfRule type="expression" dxfId="1216" priority="117">
      <formula>C$9&lt;8/24</formula>
    </cfRule>
    <cfRule type="expression" dxfId="1215" priority="116">
      <formula>AND(C$9&gt;=8/24,C$9&lt;14/24)</formula>
    </cfRule>
    <cfRule type="expression" dxfId="1214" priority="115">
      <formula>AND(C$9&gt;=14/24,C$9&lt;20/24)</formula>
    </cfRule>
  </conditionalFormatting>
  <conditionalFormatting sqref="B54:C54">
    <cfRule type="expression" dxfId="1213" priority="38">
      <formula>B$9&gt;=20/24</formula>
    </cfRule>
    <cfRule type="expression" dxfId="1212" priority="39">
      <formula>AND(B$9&gt;=14/24,B$9&lt;20/24)</formula>
    </cfRule>
    <cfRule type="expression" dxfId="1211" priority="40">
      <formula>AND(B$9&gt;=8/24,B$9&lt;14/24)</formula>
    </cfRule>
    <cfRule type="expression" dxfId="1210" priority="41">
      <formula>B$9&lt;8/24</formula>
    </cfRule>
  </conditionalFormatting>
  <conditionalFormatting sqref="B54:C66 D55:F66 G59:G66 H60:Z66">
    <cfRule type="expression" dxfId="1209" priority="33">
      <formula>B54&gt;$AG54</formula>
    </cfRule>
  </conditionalFormatting>
  <conditionalFormatting sqref="B55:F59 G59">
    <cfRule type="expression" dxfId="1208" priority="63">
      <formula>B$9&lt;8/24</formula>
    </cfRule>
    <cfRule type="expression" dxfId="1207" priority="62">
      <formula>AND(B$9&gt;=8/24,B$9&lt;14/24)</formula>
    </cfRule>
    <cfRule type="expression" dxfId="1206" priority="61">
      <formula>AND(B$9&gt;=14/24,B$9&lt;20/24)</formula>
    </cfRule>
    <cfRule type="expression" dxfId="1205" priority="60">
      <formula>B$9&gt;=20/24</formula>
    </cfRule>
  </conditionalFormatting>
  <conditionalFormatting sqref="B60:Z60">
    <cfRule type="expression" dxfId="1204" priority="52">
      <formula>AND(B$9&gt;=14/24,B$9&lt;20/24)</formula>
    </cfRule>
    <cfRule type="expression" dxfId="1203" priority="51">
      <formula>B$9&gt;=20/24</formula>
    </cfRule>
    <cfRule type="expression" dxfId="1202" priority="54">
      <formula>B$9&lt;8/24</formula>
    </cfRule>
    <cfRule type="expression" dxfId="1201" priority="53">
      <formula>AND(B$9&gt;=8/24,B$9&lt;14/24)</formula>
    </cfRule>
  </conditionalFormatting>
  <conditionalFormatting sqref="B9:AF45">
    <cfRule type="expression" dxfId="1200" priority="23">
      <formula>B$9&gt;=20/24</formula>
    </cfRule>
    <cfRule type="expression" dxfId="1199" priority="24">
      <formula>AND(B$9&gt;=14/24,B$9&lt;20/24)</formula>
    </cfRule>
    <cfRule type="expression" dxfId="1198" priority="25">
      <formula>AND(B$9&gt;=8/24,B$9&lt;14/24)</formula>
    </cfRule>
    <cfRule type="expression" dxfId="1197" priority="26">
      <formula>B$9&lt;8/24</formula>
    </cfRule>
  </conditionalFormatting>
  <conditionalFormatting sqref="B11:AF46">
    <cfRule type="expression" dxfId="1196" priority="22">
      <formula>B11&gt;$AG11</formula>
    </cfRule>
  </conditionalFormatting>
  <conditionalFormatting sqref="B46:AF46">
    <cfRule type="expression" dxfId="1195" priority="21">
      <formula>B$9&lt;8/24</formula>
    </cfRule>
    <cfRule type="expression" dxfId="1194" priority="18">
      <formula>B$9&gt;=20/24</formula>
    </cfRule>
    <cfRule type="expression" dxfId="1193" priority="19">
      <formula>AND(B$9&gt;=14/24,B$9&lt;20/24)</formula>
    </cfRule>
    <cfRule type="expression" dxfId="1192" priority="20">
      <formula>AND(B$9&gt;=8/24,B$9&lt;14/24)</formula>
    </cfRule>
  </conditionalFormatting>
  <conditionalFormatting sqref="B47:AF47">
    <cfRule type="expression" dxfId="1191" priority="32">
      <formula>B47&gt;$AG47</formula>
    </cfRule>
  </conditionalFormatting>
  <conditionalFormatting sqref="B47:AF49">
    <cfRule type="expression" dxfId="1190" priority="31">
      <formula>B$9&lt;8/24</formula>
    </cfRule>
    <cfRule type="expression" dxfId="1189" priority="30">
      <formula>AND(B$9&gt;=8/24,B$9&lt;14/24)</formula>
    </cfRule>
    <cfRule type="expression" dxfId="1188" priority="29">
      <formula>AND(B$9&gt;=14/24,B$9&lt;20/24)</formula>
    </cfRule>
    <cfRule type="expression" dxfId="1187" priority="28">
      <formula>B$9&gt;=20/24</formula>
    </cfRule>
  </conditionalFormatting>
  <conditionalFormatting sqref="B48:AF53">
    <cfRule type="expression" dxfId="1186" priority="27">
      <formula>B48&gt;$AG48</formula>
    </cfRule>
  </conditionalFormatting>
  <conditionalFormatting sqref="B51:AF53">
    <cfRule type="expression" dxfId="1185" priority="48">
      <formula>AND(B$9&gt;=14/24,B$9&lt;20/24)</formula>
    </cfRule>
    <cfRule type="expression" dxfId="1184" priority="49">
      <formula>AND(B$9&gt;=8/24,B$9&lt;14/24)</formula>
    </cfRule>
    <cfRule type="expression" dxfId="1183" priority="50">
      <formula>B$9&lt;8/24</formula>
    </cfRule>
    <cfRule type="expression" dxfId="1182" priority="47">
      <formula>B$9&gt;=20/24</formula>
    </cfRule>
  </conditionalFormatting>
  <conditionalFormatting sqref="B61:AF66">
    <cfRule type="expression" dxfId="1181" priority="35">
      <formula>AND(B$9&gt;=14/24,B$9&lt;20/24)</formula>
    </cfRule>
    <cfRule type="expression" dxfId="1180" priority="36">
      <formula>AND(B$9&gt;=8/24,B$9&lt;14/24)</formula>
    </cfRule>
    <cfRule type="expression" dxfId="1179" priority="37">
      <formula>B$9&lt;8/24</formula>
    </cfRule>
    <cfRule type="expression" dxfId="1178" priority="34">
      <formula>B$9&gt;=20/24</formula>
    </cfRule>
  </conditionalFormatting>
  <conditionalFormatting sqref="B69:AF71">
    <cfRule type="expression" dxfId="1177" priority="58">
      <formula>AND(B$9&gt;=8/24,B$9&lt;14/24)</formula>
    </cfRule>
    <cfRule type="expression" dxfId="1176" priority="59">
      <formula>B$9&lt;8/24</formula>
    </cfRule>
    <cfRule type="expression" dxfId="1175" priority="55">
      <formula>B69&gt;$AG69</formula>
    </cfRule>
    <cfRule type="expression" dxfId="1174" priority="56">
      <formula>B$9&gt;=20/24</formula>
    </cfRule>
    <cfRule type="expression" dxfId="1173" priority="57">
      <formula>AND(B$9&gt;=14/24,B$9&lt;20/24)</formula>
    </cfRule>
  </conditionalFormatting>
  <conditionalFormatting sqref="B73:AF91">
    <cfRule type="expression" dxfId="1172" priority="2">
      <formula>AND(B$9&gt;=14/24,B$9&lt;20/24)</formula>
    </cfRule>
    <cfRule type="expression" dxfId="1171" priority="4">
      <formula>B$9&lt;8/24</formula>
    </cfRule>
    <cfRule type="expression" dxfId="1170" priority="3">
      <formula>AND(B$9&gt;=8/24,B$9&lt;14/24)</formula>
    </cfRule>
    <cfRule type="expression" dxfId="1169" priority="1">
      <formula>B$9&gt;=20/24</formula>
    </cfRule>
  </conditionalFormatting>
  <conditionalFormatting sqref="B111:AF120">
    <cfRule type="expression" dxfId="1168" priority="17">
      <formula>B$9&lt;8/24</formula>
    </cfRule>
    <cfRule type="expression" dxfId="1167" priority="16">
      <formula>AND(B$9&gt;=8/24,B$9&lt;14/24)</formula>
    </cfRule>
    <cfRule type="expression" dxfId="1166" priority="15">
      <formula>AND(B$9&gt;=14/24,B$9&lt;20/24)</formula>
    </cfRule>
    <cfRule type="expression" dxfId="1165" priority="14">
      <formula>B$9&gt;=20/24</formula>
    </cfRule>
  </conditionalFormatting>
  <conditionalFormatting sqref="B227:AF227 D229:AF230 B229:B235 D231:H231 J231:AF231 D232:AF235 U248:AF248">
    <cfRule type="expression" dxfId="1164" priority="108">
      <formula>B$9&gt;=20/24</formula>
    </cfRule>
    <cfRule type="expression" dxfId="1163" priority="110">
      <formula>AND(B$9&gt;=8/24,B$9&lt;14/24)</formula>
    </cfRule>
    <cfRule type="expression" dxfId="1162" priority="111">
      <formula>B$9&lt;8/24</formula>
    </cfRule>
    <cfRule type="expression" dxfId="1161" priority="109">
      <formula>AND(B$9&gt;=14/24,B$9&lt;20/24)</formula>
    </cfRule>
  </conditionalFormatting>
  <conditionalFormatting sqref="B67:AG68 B72:AG72">
    <cfRule type="expression" dxfId="1160" priority="42">
      <formula>B67&gt;$AG67</formula>
    </cfRule>
  </conditionalFormatting>
  <conditionalFormatting sqref="B72:AG72 B93:AF109">
    <cfRule type="expression" dxfId="1159" priority="46">
      <formula>B$9&lt;8/24</formula>
    </cfRule>
    <cfRule type="expression" dxfId="1158" priority="45">
      <formula>AND(B$9&gt;=8/24,B$9&lt;14/24)</formula>
    </cfRule>
    <cfRule type="expression" dxfId="1157" priority="44">
      <formula>AND(B$9&gt;=14/24,B$9&lt;20/24)</formula>
    </cfRule>
    <cfRule type="expression" dxfId="1156" priority="43">
      <formula>B$9&gt;=20/24</formula>
    </cfRule>
  </conditionalFormatting>
  <conditionalFormatting sqref="D54:AG54">
    <cfRule type="expression" dxfId="1155" priority="78">
      <formula>AND(D$9&gt;=14/24,D$9&lt;20/24)</formula>
    </cfRule>
    <cfRule type="expression" dxfId="1154" priority="77">
      <formula>D$9&gt;=20/24</formula>
    </cfRule>
    <cfRule type="expression" dxfId="1153" priority="76">
      <formula>D54&gt;$AG54</formula>
    </cfRule>
    <cfRule type="expression" dxfId="1152" priority="79">
      <formula>AND(D$9&gt;=8/24,D$9&lt;14/24)</formula>
    </cfRule>
    <cfRule type="expression" dxfId="1151" priority="80">
      <formula>D$9&lt;8/24</formula>
    </cfRule>
  </conditionalFormatting>
  <conditionalFormatting sqref="G55:L57">
    <cfRule type="expression" dxfId="1150" priority="89">
      <formula>G$9&gt;=20/24</formula>
    </cfRule>
    <cfRule type="expression" dxfId="1149" priority="90">
      <formula>AND(G$9&gt;=14/24,G$9&lt;20/24)</formula>
    </cfRule>
    <cfRule type="expression" dxfId="1148" priority="91">
      <formula>AND(G$9&gt;=8/24,G$9&lt;14/24)</formula>
    </cfRule>
    <cfRule type="expression" dxfId="1147" priority="92">
      <formula>G$9&lt;8/24</formula>
    </cfRule>
  </conditionalFormatting>
  <conditionalFormatting sqref="G55:M58 N55:Z59 AA55:AF66 H59:M59">
    <cfRule type="expression" dxfId="1146" priority="5">
      <formula>G55&gt;$AG55</formula>
    </cfRule>
  </conditionalFormatting>
  <conditionalFormatting sqref="M55:Z59">
    <cfRule type="expression" dxfId="1145" priority="93">
      <formula>M$9&gt;=20/24</formula>
    </cfRule>
    <cfRule type="expression" dxfId="1144" priority="95">
      <formula>AND(M$9&gt;=8/24,M$9&lt;14/24)</formula>
    </cfRule>
    <cfRule type="expression" dxfId="1143" priority="96">
      <formula>M$9&lt;8/24</formula>
    </cfRule>
    <cfRule type="expression" dxfId="1142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141" priority="114">
      <formula>C$9&gt;=20/24</formula>
    </cfRule>
  </conditionalFormatting>
  <conditionalFormatting sqref="S8">
    <cfRule type="expression" dxfId="1140" priority="102">
      <formula>AND(U$9&gt;=14/24,U$9&lt;20/24)</formula>
    </cfRule>
    <cfRule type="expression" dxfId="1139" priority="101">
      <formula>U$9&gt;=20/24</formula>
    </cfRule>
    <cfRule type="expression" dxfId="1138" priority="103">
      <formula>AND(U$9&gt;=8/24,U$9&lt;14/24)</formula>
    </cfRule>
    <cfRule type="expression" dxfId="1137" priority="104">
      <formula>U$9&lt;8/24</formula>
    </cfRule>
  </conditionalFormatting>
  <conditionalFormatting sqref="T248">
    <cfRule type="expression" dxfId="1136" priority="129">
      <formula>AX$9&lt;8/24</formula>
    </cfRule>
    <cfRule type="expression" dxfId="1135" priority="126">
      <formula>AX$9&gt;=20/24</formula>
    </cfRule>
    <cfRule type="expression" dxfId="1134" priority="127">
      <formula>AND(AX$9&gt;=14/24,AX$9&lt;20/24)</formula>
    </cfRule>
    <cfRule type="expression" dxfId="1133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A55:AF60">
    <cfRule type="expression" dxfId="1132" priority="12">
      <formula>AND(AA$9&gt;=8/24,AA$9&lt;14/24)</formula>
    </cfRule>
    <cfRule type="expression" dxfId="1131" priority="13">
      <formula>AA$9&lt;8/24</formula>
    </cfRule>
    <cfRule type="expression" dxfId="1130" priority="11">
      <formula>AND(AA$9&gt;=14/24,AA$9&lt;20/24)</formula>
    </cfRule>
    <cfRule type="expression" dxfId="1129" priority="10">
      <formula>AA$9&gt;=20/24</formula>
    </cfRule>
  </conditionalFormatting>
  <conditionalFormatting sqref="AB8">
    <cfRule type="expression" dxfId="1128" priority="97">
      <formula>AD$9&gt;=20/24</formula>
    </cfRule>
    <cfRule type="expression" dxfId="1127" priority="99">
      <formula>AND(AD$9&gt;=8/24,AD$9&lt;14/24)</formula>
    </cfRule>
    <cfRule type="expression" dxfId="1126" priority="98">
      <formula>AND(AD$9&gt;=14/24,AD$9&lt;20/24)</formula>
    </cfRule>
    <cfRule type="expression" dxfId="1125" priority="100">
      <formula>AD$9&lt;8/24</formula>
    </cfRule>
  </conditionalFormatting>
  <conditionalFormatting sqref="AE61:AF66">
    <cfRule type="expression" dxfId="1124" priority="7">
      <formula>AND(AE$9&gt;=14/24,AE$9&lt;20/24)</formula>
    </cfRule>
    <cfRule type="expression" dxfId="1123" priority="6">
      <formula>AE$9&gt;=20/24</formula>
    </cfRule>
    <cfRule type="expression" dxfId="1122" priority="9">
      <formula>AE$9&lt;8/24</formula>
    </cfRule>
    <cfRule type="expression" dxfId="1121" priority="8">
      <formula>AND(AE$9&gt;=8/24,AE$9&lt;14/24)</formula>
    </cfRule>
  </conditionalFormatting>
  <conditionalFormatting sqref="AG50">
    <cfRule type="expression" dxfId="1120" priority="84">
      <formula>AG50&gt;$AG50</formula>
    </cfRule>
  </conditionalFormatting>
  <conditionalFormatting sqref="AG89">
    <cfRule type="expression" dxfId="1119" priority="85">
      <formula>AG$9&gt;=20/24</formula>
    </cfRule>
    <cfRule type="expression" dxfId="1118" priority="86">
      <formula>AND(AG$9&gt;=14/24,AG$9&lt;20/24)</formula>
    </cfRule>
    <cfRule type="expression" dxfId="1117" priority="87">
      <formula>AND(AG$9&gt;=8/24,AG$9&lt;14/24)</formula>
    </cfRule>
    <cfRule type="expression" dxfId="1116" priority="88">
      <formula>AG$9&lt;8/24</formula>
    </cfRule>
  </conditionalFormatting>
  <conditionalFormatting sqref="AG248">
    <cfRule type="expression" dxfId="1115" priority="118">
      <formula>B$9&gt;=20/24</formula>
    </cfRule>
    <cfRule type="expression" dxfId="1114" priority="121">
      <formula>B$9&lt;8/24</formula>
    </cfRule>
    <cfRule type="expression" dxfId="1113" priority="120">
      <formula>AND(B$9&gt;=8/24,B$9&lt;14/24)</formula>
    </cfRule>
    <cfRule type="expression" dxfId="1112" priority="119">
      <formula>AND(B$9&gt;=14/24,B$9&lt;20/24)</formula>
    </cfRule>
  </conditionalFormatting>
  <conditionalFormatting sqref="AH248:AX248">
    <cfRule type="expression" dxfId="1111" priority="125">
      <formula>AG$9&lt;8/24</formula>
    </cfRule>
    <cfRule type="expression" dxfId="1110" priority="124">
      <formula>AND(AG$9&gt;=8/24,AG$9&lt;14/24)</formula>
    </cfRule>
    <cfRule type="expression" dxfId="1109" priority="123">
      <formula>AND(AG$9&gt;=14/24,AG$9&lt;20/24)</formula>
    </cfRule>
    <cfRule type="expression" dxfId="1108" priority="122">
      <formula>AG$9&gt;=20/24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107" priority="131">
      <formula>AJ$9&gt;=20/24</formula>
    </cfRule>
    <cfRule type="expression" dxfId="1106" priority="132">
      <formula>AND(AJ$9&gt;=14/24,AJ$9&lt;20/24)</formula>
    </cfRule>
    <cfRule type="expression" dxfId="1105" priority="133">
      <formula>AND(AJ$9&gt;=8/24,AJ$9&lt;14/24)</formula>
    </cfRule>
    <cfRule type="expression" dxfId="1104" priority="134">
      <formula>AJ$9&lt;8/24</formula>
    </cfRule>
  </conditionalFormatting>
  <conditionalFormatting sqref="AL80:AN80 AL86:AN86">
    <cfRule type="expression" dxfId="1103" priority="75">
      <formula>AL$9&lt;8/24</formula>
    </cfRule>
    <cfRule type="expression" dxfId="1102" priority="74">
      <formula>AND(AL$9&gt;=8/24,AL$9&lt;14/24)</formula>
    </cfRule>
    <cfRule type="expression" dxfId="1101" priority="73">
      <formula>AND(AL$9&gt;=14/24,AL$9&lt;20/24)</formula>
    </cfRule>
    <cfRule type="expression" dxfId="1100" priority="72">
      <formula>AL$9&gt;=20/24</formula>
    </cfRule>
  </conditionalFormatting>
  <conditionalFormatting sqref="AN81:AN84">
    <cfRule type="expression" dxfId="1099" priority="71">
      <formula>AN$9&lt;8/24</formula>
    </cfRule>
    <cfRule type="expression" dxfId="1098" priority="69">
      <formula>AND(AN$9&gt;=14/24,AN$9&lt;20/24)</formula>
    </cfRule>
    <cfRule type="expression" dxfId="1097" priority="70">
      <formula>AND(AN$9&gt;=8/24,AN$9&lt;14/24)</formula>
    </cfRule>
    <cfRule type="expression" dxfId="1096" priority="68">
      <formula>AN$9&gt;=20/24</formula>
    </cfRule>
  </conditionalFormatting>
  <pageMargins left="0.7" right="0.7" top="0.75" bottom="0.75" header="0.3" footer="0.3"/>
  <drawing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33320-45E7-4D39-AA2D-DD8CC7CBEDE6}">
  <sheetPr codeName="Sheet29"/>
  <dimension ref="A1:CJ281"/>
  <sheetViews>
    <sheetView workbookViewId="0">
      <pane xSplit="1" ySplit="10" topLeftCell="L4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Q66" sqref="Q66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7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2080/05/25</v>
      </c>
      <c r="C4" s="196"/>
      <c r="D4" s="196"/>
      <c r="E4" s="197" t="str">
        <f ca="1">"2080/"&amp;"05/"&amp;INT(MID(CELL("filename",G6),FIND("]",CELL("filename",G6))+1,200))</f>
        <v>2080/05/25</v>
      </c>
      <c r="F4" s="197"/>
      <c r="G4" s="197"/>
      <c r="H4" s="197" t="str">
        <f ca="1">TEXT(E4,"dddd")</f>
        <v>Saturday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37.200000000000003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2136MW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Load=2004</v>
      </c>
      <c r="B7" s="35">
        <f t="shared" ref="B7:AF7" si="1">B91</f>
        <v>2008.2400000000002</v>
      </c>
      <c r="C7" s="35">
        <f t="shared" si="1"/>
        <v>2004.2400000000002</v>
      </c>
      <c r="D7" s="35">
        <f t="shared" si="1"/>
        <v>2004.5400000000002</v>
      </c>
      <c r="E7" s="35">
        <f t="shared" si="1"/>
        <v>2016.2400000000002</v>
      </c>
      <c r="F7" s="35">
        <f t="shared" si="1"/>
        <v>2021.2400000000002</v>
      </c>
      <c r="G7" s="35">
        <f t="shared" si="1"/>
        <v>2015.2400000000002</v>
      </c>
      <c r="H7" s="35">
        <f t="shared" si="1"/>
        <v>2042.54</v>
      </c>
      <c r="I7" s="35">
        <f t="shared" si="1"/>
        <v>2062.54</v>
      </c>
      <c r="J7" s="35">
        <f t="shared" si="1"/>
        <v>2083.14</v>
      </c>
      <c r="K7" s="35">
        <f t="shared" si="1"/>
        <v>2098.14</v>
      </c>
      <c r="L7" s="35">
        <f t="shared" si="1"/>
        <v>2128.84</v>
      </c>
      <c r="M7" s="35">
        <f t="shared" si="1"/>
        <v>2133.84</v>
      </c>
      <c r="N7" s="35">
        <f>N91</f>
        <v>2136.34</v>
      </c>
      <c r="O7" s="35">
        <f t="shared" si="1"/>
        <v>2155.44</v>
      </c>
      <c r="P7" s="35">
        <f t="shared" si="1"/>
        <v>2168.64</v>
      </c>
      <c r="Q7" s="35">
        <f t="shared" si="1"/>
        <v>2127.7399999999998</v>
      </c>
      <c r="R7" s="35">
        <f t="shared" si="1"/>
        <v>2110.6400000000003</v>
      </c>
      <c r="S7" s="35">
        <f t="shared" si="1"/>
        <v>2121.04</v>
      </c>
      <c r="T7" s="35">
        <f t="shared" si="1"/>
        <v>2130.04</v>
      </c>
      <c r="U7" s="35">
        <f t="shared" si="1"/>
        <v>2133.44</v>
      </c>
      <c r="V7" s="35">
        <f t="shared" si="1"/>
        <v>2136.6400000000003</v>
      </c>
      <c r="W7" s="35">
        <f t="shared" si="1"/>
        <v>2119.6400000000003</v>
      </c>
      <c r="X7" s="35">
        <f t="shared" si="1"/>
        <v>2145.1400000000003</v>
      </c>
      <c r="Y7" s="35">
        <f t="shared" si="1"/>
        <v>2190.84</v>
      </c>
      <c r="Z7" s="35">
        <f t="shared" si="1"/>
        <v>2228.04</v>
      </c>
      <c r="AA7" s="35">
        <f t="shared" si="1"/>
        <v>2185.5400000000004</v>
      </c>
      <c r="AB7" s="35">
        <f t="shared" si="1"/>
        <v>2144.7400000000002</v>
      </c>
      <c r="AC7" s="35">
        <f t="shared" si="1"/>
        <v>2138.1400000000003</v>
      </c>
      <c r="AD7" s="35">
        <f t="shared" si="1"/>
        <v>2094.1400000000003</v>
      </c>
      <c r="AE7" s="35">
        <f t="shared" si="1"/>
        <v>2046.54</v>
      </c>
      <c r="AF7" s="35">
        <f t="shared" si="1"/>
        <v>2046.54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9</v>
      </c>
      <c r="I12" s="45">
        <v>9</v>
      </c>
      <c r="J12" s="45">
        <v>9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28.1</v>
      </c>
      <c r="R13" s="45">
        <v>28.1</v>
      </c>
      <c r="S13" s="45">
        <v>28.1</v>
      </c>
      <c r="T13" s="45">
        <v>28.1</v>
      </c>
      <c r="U13" s="45">
        <v>54.1</v>
      </c>
      <c r="V13" s="45">
        <v>54.1</v>
      </c>
      <c r="W13" s="45">
        <v>54.1</v>
      </c>
      <c r="X13" s="45">
        <v>54.1</v>
      </c>
      <c r="Y13" s="45">
        <v>54.1</v>
      </c>
      <c r="Z13" s="45">
        <v>54.1</v>
      </c>
      <c r="AA13" s="45">
        <v>54.1</v>
      </c>
      <c r="AB13" s="45">
        <v>54.1</v>
      </c>
      <c r="AC13" s="45">
        <v>54.1</v>
      </c>
      <c r="AD13" s="45">
        <v>54.1</v>
      </c>
      <c r="AE13" s="45">
        <v>54.1</v>
      </c>
      <c r="AF13" s="45">
        <v>54.1</v>
      </c>
      <c r="AG13" s="46">
        <v>52.4</v>
      </c>
      <c r="AH13" s="47">
        <f t="shared" si="2"/>
        <v>54.3</v>
      </c>
      <c r="AI13" s="48">
        <f t="shared" si="3"/>
        <v>28.1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50.3</v>
      </c>
      <c r="C14" s="58">
        <v>50.3</v>
      </c>
      <c r="D14" s="58">
        <v>50.3</v>
      </c>
      <c r="E14" s="58">
        <v>50.3</v>
      </c>
      <c r="F14" s="58">
        <v>50.3</v>
      </c>
      <c r="G14" s="58">
        <v>50.3</v>
      </c>
      <c r="H14" s="58">
        <v>50.3</v>
      </c>
      <c r="I14" s="58">
        <v>50.3</v>
      </c>
      <c r="J14" s="58">
        <v>50.3</v>
      </c>
      <c r="K14" s="58">
        <v>50.3</v>
      </c>
      <c r="L14" s="58">
        <v>50.3</v>
      </c>
      <c r="M14" s="58">
        <v>50.3</v>
      </c>
      <c r="N14" s="58">
        <v>50.3</v>
      </c>
      <c r="O14" s="58">
        <v>50.3</v>
      </c>
      <c r="P14" s="58">
        <v>50.3</v>
      </c>
      <c r="Q14" s="58">
        <v>50.3</v>
      </c>
      <c r="R14" s="58">
        <v>50.3</v>
      </c>
      <c r="S14" s="58">
        <v>50.3</v>
      </c>
      <c r="T14" s="58">
        <v>50.3</v>
      </c>
      <c r="U14" s="58">
        <v>50.3</v>
      </c>
      <c r="V14" s="58">
        <v>50.3</v>
      </c>
      <c r="W14" s="58">
        <v>50.3</v>
      </c>
      <c r="X14" s="58">
        <v>50.3</v>
      </c>
      <c r="Y14" s="58">
        <v>50.3</v>
      </c>
      <c r="Z14" s="58">
        <v>50.3</v>
      </c>
      <c r="AA14" s="45">
        <v>50.3</v>
      </c>
      <c r="AB14" s="45">
        <v>50.3</v>
      </c>
      <c r="AC14" s="45">
        <v>50.3</v>
      </c>
      <c r="AD14" s="45">
        <v>50.3</v>
      </c>
      <c r="AE14" s="45">
        <v>50.3</v>
      </c>
      <c r="AF14" s="45">
        <v>50.3</v>
      </c>
      <c r="AG14" s="49">
        <v>50</v>
      </c>
      <c r="AH14" s="47">
        <f t="shared" si="2"/>
        <v>50.3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46</v>
      </c>
      <c r="L15" s="45">
        <v>46</v>
      </c>
      <c r="M15" s="45">
        <v>46</v>
      </c>
      <c r="N15" s="45">
        <v>46</v>
      </c>
      <c r="O15" s="45">
        <v>46</v>
      </c>
      <c r="P15" s="45">
        <v>46</v>
      </c>
      <c r="Q15" s="45">
        <v>47</v>
      </c>
      <c r="R15" s="45">
        <v>47</v>
      </c>
      <c r="S15" s="45">
        <v>47</v>
      </c>
      <c r="T15" s="45">
        <v>47</v>
      </c>
      <c r="U15" s="45">
        <v>47</v>
      </c>
      <c r="V15" s="45">
        <v>47</v>
      </c>
      <c r="W15" s="45">
        <v>47</v>
      </c>
      <c r="X15" s="45">
        <v>47</v>
      </c>
      <c r="Y15" s="45">
        <v>47</v>
      </c>
      <c r="Z15" s="45">
        <v>47</v>
      </c>
      <c r="AA15" s="45">
        <v>47</v>
      </c>
      <c r="AB15" s="45">
        <v>47</v>
      </c>
      <c r="AC15" s="45">
        <v>47</v>
      </c>
      <c r="AD15" s="45">
        <v>47</v>
      </c>
      <c r="AE15" s="45">
        <v>47</v>
      </c>
      <c r="AF15" s="45">
        <v>47</v>
      </c>
      <c r="AG15" s="49">
        <v>45</v>
      </c>
      <c r="AH15" s="47">
        <f t="shared" si="2"/>
        <v>47</v>
      </c>
      <c r="AI15" s="48">
        <f t="shared" si="3"/>
        <v>46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30</v>
      </c>
      <c r="H19" s="45">
        <v>30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10.3</v>
      </c>
      <c r="I20" s="45">
        <v>10.3</v>
      </c>
      <c r="J20" s="45">
        <v>10.3</v>
      </c>
      <c r="K20" s="45">
        <v>15.3</v>
      </c>
      <c r="L20" s="45">
        <v>25</v>
      </c>
      <c r="M20" s="45">
        <v>25</v>
      </c>
      <c r="N20" s="45">
        <v>15</v>
      </c>
      <c r="O20" s="45">
        <v>21.2</v>
      </c>
      <c r="P20" s="45">
        <v>21.2</v>
      </c>
      <c r="Q20" s="45">
        <v>15</v>
      </c>
      <c r="R20" s="45">
        <v>15</v>
      </c>
      <c r="S20" s="45">
        <v>15</v>
      </c>
      <c r="T20" s="45">
        <v>15</v>
      </c>
      <c r="U20" s="45">
        <v>15</v>
      </c>
      <c r="V20" s="45">
        <v>20.5</v>
      </c>
      <c r="W20" s="45">
        <v>20.5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15</v>
      </c>
      <c r="AE20" s="45">
        <v>15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20.9</v>
      </c>
      <c r="C21" s="45">
        <v>20.9</v>
      </c>
      <c r="D21" s="45">
        <v>20.9</v>
      </c>
      <c r="E21" s="45">
        <v>20.9</v>
      </c>
      <c r="F21" s="45">
        <v>20.9</v>
      </c>
      <c r="G21" s="45">
        <v>20.9</v>
      </c>
      <c r="H21" s="45">
        <v>20.9</v>
      </c>
      <c r="I21" s="45">
        <v>20.9</v>
      </c>
      <c r="J21" s="45">
        <v>29.2</v>
      </c>
      <c r="K21" s="45">
        <v>29.2</v>
      </c>
      <c r="L21" s="45">
        <v>29.2</v>
      </c>
      <c r="M21" s="45">
        <v>29.2</v>
      </c>
      <c r="N21" s="45">
        <v>30.1</v>
      </c>
      <c r="O21" s="45">
        <v>30.1</v>
      </c>
      <c r="P21" s="45">
        <v>30.1</v>
      </c>
      <c r="Q21" s="45">
        <v>30.1</v>
      </c>
      <c r="R21" s="45">
        <v>30.1</v>
      </c>
      <c r="S21" s="45">
        <v>30.1</v>
      </c>
      <c r="T21" s="45">
        <v>30.1</v>
      </c>
      <c r="U21" s="45">
        <v>30.1</v>
      </c>
      <c r="V21" s="45">
        <v>30.1</v>
      </c>
      <c r="W21" s="45">
        <v>30.1</v>
      </c>
      <c r="X21" s="45">
        <v>30.1</v>
      </c>
      <c r="Y21" s="45">
        <v>30.1</v>
      </c>
      <c r="Z21" s="45">
        <v>30.1</v>
      </c>
      <c r="AA21" s="45">
        <v>30.1</v>
      </c>
      <c r="AB21" s="45">
        <v>30.1</v>
      </c>
      <c r="AC21" s="45">
        <v>30.1</v>
      </c>
      <c r="AD21" s="45">
        <v>30.1</v>
      </c>
      <c r="AE21" s="45">
        <v>20</v>
      </c>
      <c r="AF21" s="45">
        <v>20</v>
      </c>
      <c r="AG21" s="49">
        <v>24.2</v>
      </c>
      <c r="AH21" s="47">
        <f t="shared" si="2"/>
        <v>30.1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21.2</v>
      </c>
      <c r="C22" s="45">
        <v>21.2</v>
      </c>
      <c r="D22" s="45">
        <v>21.2</v>
      </c>
      <c r="E22" s="45">
        <v>21.2</v>
      </c>
      <c r="F22" s="45">
        <v>21.2</v>
      </c>
      <c r="G22" s="45">
        <v>21.2</v>
      </c>
      <c r="H22" s="45">
        <v>21.2</v>
      </c>
      <c r="I22" s="45">
        <v>21.2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20</v>
      </c>
      <c r="AF22" s="45">
        <v>20</v>
      </c>
      <c r="AG22" s="49">
        <v>28</v>
      </c>
      <c r="AH22" s="47">
        <f t="shared" si="2"/>
        <v>28.5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3</v>
      </c>
      <c r="G23" s="45">
        <v>3</v>
      </c>
      <c r="H23" s="45">
        <v>9</v>
      </c>
      <c r="I23" s="45">
        <v>9</v>
      </c>
      <c r="J23" s="45">
        <v>9</v>
      </c>
      <c r="K23" s="45">
        <v>9</v>
      </c>
      <c r="L23" s="45">
        <v>18</v>
      </c>
      <c r="M23" s="45">
        <v>18</v>
      </c>
      <c r="N23" s="45">
        <v>13.5</v>
      </c>
      <c r="O23" s="45">
        <v>18</v>
      </c>
      <c r="P23" s="45">
        <v>18</v>
      </c>
      <c r="Q23" s="45">
        <v>13.5</v>
      </c>
      <c r="R23" s="45">
        <v>13.5</v>
      </c>
      <c r="S23" s="45">
        <v>13.5</v>
      </c>
      <c r="T23" s="45">
        <v>13.5</v>
      </c>
      <c r="U23" s="45">
        <v>13.5</v>
      </c>
      <c r="V23" s="45">
        <v>18</v>
      </c>
      <c r="W23" s="45">
        <v>13.5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13</v>
      </c>
      <c r="AE23" s="45">
        <v>5</v>
      </c>
      <c r="AF23" s="45">
        <v>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24.6</v>
      </c>
      <c r="C24" s="45">
        <v>24.6</v>
      </c>
      <c r="D24" s="45">
        <v>24.6</v>
      </c>
      <c r="E24" s="45">
        <v>24.6</v>
      </c>
      <c r="F24" s="45">
        <v>24.6</v>
      </c>
      <c r="G24" s="45">
        <v>24.6</v>
      </c>
      <c r="H24" s="45">
        <v>24.6</v>
      </c>
      <c r="I24" s="45">
        <v>24.6</v>
      </c>
      <c r="J24" s="45">
        <v>24.6</v>
      </c>
      <c r="K24" s="45">
        <v>24.6</v>
      </c>
      <c r="L24" s="45">
        <v>24.6</v>
      </c>
      <c r="M24" s="45">
        <v>24.6</v>
      </c>
      <c r="N24" s="45">
        <v>24.6</v>
      </c>
      <c r="O24" s="45">
        <v>24.6</v>
      </c>
      <c r="P24" s="45">
        <v>24.6</v>
      </c>
      <c r="Q24" s="45">
        <v>24.6</v>
      </c>
      <c r="R24" s="45">
        <v>24.6</v>
      </c>
      <c r="S24" s="45">
        <v>24.6</v>
      </c>
      <c r="T24" s="45">
        <v>24.6</v>
      </c>
      <c r="U24" s="45">
        <v>24.6</v>
      </c>
      <c r="V24" s="45">
        <v>24.6</v>
      </c>
      <c r="W24" s="45">
        <v>24.6</v>
      </c>
      <c r="X24" s="45">
        <v>24.6</v>
      </c>
      <c r="Y24" s="45">
        <v>24.6</v>
      </c>
      <c r="Z24" s="45">
        <v>24.6</v>
      </c>
      <c r="AA24" s="45">
        <v>24.6</v>
      </c>
      <c r="AB24" s="45">
        <v>24.6</v>
      </c>
      <c r="AC24" s="45">
        <v>24.6</v>
      </c>
      <c r="AD24" s="45">
        <v>24.6</v>
      </c>
      <c r="AE24" s="45">
        <v>24.6</v>
      </c>
      <c r="AF24" s="45">
        <v>24.6</v>
      </c>
      <c r="AG24" s="49">
        <v>25</v>
      </c>
      <c r="AH24" s="47">
        <f t="shared" si="2"/>
        <v>24.6</v>
      </c>
      <c r="AI24" s="48">
        <f t="shared" si="3"/>
        <v>24.6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3</v>
      </c>
      <c r="G27" s="45">
        <v>3</v>
      </c>
      <c r="H27" s="45">
        <v>8</v>
      </c>
      <c r="I27" s="45">
        <v>8</v>
      </c>
      <c r="J27" s="45">
        <v>8</v>
      </c>
      <c r="K27" s="45">
        <v>8</v>
      </c>
      <c r="L27" s="45">
        <v>16</v>
      </c>
      <c r="M27" s="45">
        <v>16</v>
      </c>
      <c r="N27" s="45">
        <v>12.5</v>
      </c>
      <c r="O27" s="45">
        <v>16</v>
      </c>
      <c r="P27" s="45">
        <v>16</v>
      </c>
      <c r="Q27" s="45">
        <v>12.5</v>
      </c>
      <c r="R27" s="45">
        <v>12.5</v>
      </c>
      <c r="S27" s="45">
        <v>12.5</v>
      </c>
      <c r="T27" s="45">
        <v>12.5</v>
      </c>
      <c r="U27" s="45">
        <v>12.5</v>
      </c>
      <c r="V27" s="45">
        <v>25</v>
      </c>
      <c r="W27" s="45">
        <v>12.5</v>
      </c>
      <c r="X27" s="45">
        <v>25</v>
      </c>
      <c r="Y27" s="45">
        <v>25</v>
      </c>
      <c r="Z27" s="45">
        <v>25</v>
      </c>
      <c r="AA27" s="45">
        <v>25</v>
      </c>
      <c r="AB27" s="45">
        <v>20</v>
      </c>
      <c r="AC27" s="45">
        <v>20</v>
      </c>
      <c r="AD27" s="45">
        <v>13</v>
      </c>
      <c r="AE27" s="45">
        <v>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11.5</v>
      </c>
      <c r="C29" s="45">
        <v>11.5</v>
      </c>
      <c r="D29" s="45">
        <v>11.5</v>
      </c>
      <c r="E29" s="45">
        <v>11.5</v>
      </c>
      <c r="F29" s="45">
        <v>11.5</v>
      </c>
      <c r="G29" s="45">
        <v>11.5</v>
      </c>
      <c r="H29" s="45">
        <v>11.5</v>
      </c>
      <c r="I29" s="45">
        <v>11.5</v>
      </c>
      <c r="J29" s="45">
        <v>11.5</v>
      </c>
      <c r="K29" s="45">
        <v>11.5</v>
      </c>
      <c r="L29" s="45">
        <v>11.5</v>
      </c>
      <c r="M29" s="45">
        <v>11.5</v>
      </c>
      <c r="N29" s="45">
        <v>11.5</v>
      </c>
      <c r="O29" s="45">
        <v>11.5</v>
      </c>
      <c r="P29" s="45">
        <v>11.5</v>
      </c>
      <c r="Q29" s="45">
        <v>11.5</v>
      </c>
      <c r="R29" s="45">
        <v>11.5</v>
      </c>
      <c r="S29" s="45">
        <v>11.5</v>
      </c>
      <c r="T29" s="45">
        <v>11.5</v>
      </c>
      <c r="U29" s="45">
        <v>11.5</v>
      </c>
      <c r="V29" s="45">
        <v>11.5</v>
      </c>
      <c r="W29" s="45">
        <v>11.5</v>
      </c>
      <c r="X29" s="45">
        <v>11.5</v>
      </c>
      <c r="Y29" s="45">
        <v>11.5</v>
      </c>
      <c r="Z29" s="45">
        <v>11.5</v>
      </c>
      <c r="AA29" s="45">
        <v>11.5</v>
      </c>
      <c r="AB29" s="45">
        <v>11.5</v>
      </c>
      <c r="AC29" s="45">
        <v>11.5</v>
      </c>
      <c r="AD29" s="45">
        <v>11.5</v>
      </c>
      <c r="AE29" s="45">
        <v>11.5</v>
      </c>
      <c r="AF29" s="45">
        <v>11.5</v>
      </c>
      <c r="AG29" s="49">
        <v>22.2</v>
      </c>
      <c r="AH29" s="47">
        <f t="shared" si="2"/>
        <v>11.5</v>
      </c>
      <c r="AI29" s="48">
        <f t="shared" si="3"/>
        <v>11.5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4</v>
      </c>
      <c r="J33" s="45">
        <v>4</v>
      </c>
      <c r="K33" s="45">
        <v>5</v>
      </c>
      <c r="L33" s="45">
        <v>5</v>
      </c>
      <c r="M33" s="45">
        <v>8</v>
      </c>
      <c r="N33" s="45">
        <v>8</v>
      </c>
      <c r="O33" s="45">
        <v>8</v>
      </c>
      <c r="P33" s="45">
        <v>8</v>
      </c>
      <c r="Q33" s="45">
        <v>10</v>
      </c>
      <c r="R33" s="45">
        <v>10</v>
      </c>
      <c r="S33" s="45">
        <v>10</v>
      </c>
      <c r="T33" s="45">
        <v>10</v>
      </c>
      <c r="U33" s="45">
        <v>10</v>
      </c>
      <c r="V33" s="45">
        <v>4</v>
      </c>
      <c r="W33" s="45">
        <v>4</v>
      </c>
      <c r="X33" s="45">
        <v>4</v>
      </c>
      <c r="Y33" s="45">
        <v>10</v>
      </c>
      <c r="Z33" s="45">
        <v>10</v>
      </c>
      <c r="AA33" s="45">
        <v>10</v>
      </c>
      <c r="AB33" s="45">
        <v>10</v>
      </c>
      <c r="AC33" s="45">
        <v>10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4</v>
      </c>
      <c r="K34" s="45">
        <v>4</v>
      </c>
      <c r="L34" s="45">
        <v>4</v>
      </c>
      <c r="M34" s="45">
        <v>7</v>
      </c>
      <c r="N34" s="45">
        <v>7</v>
      </c>
      <c r="O34" s="45">
        <v>7</v>
      </c>
      <c r="P34" s="45">
        <v>7</v>
      </c>
      <c r="Q34" s="45">
        <v>7</v>
      </c>
      <c r="R34" s="45">
        <v>7</v>
      </c>
      <c r="S34" s="45">
        <v>7</v>
      </c>
      <c r="T34" s="45">
        <v>7</v>
      </c>
      <c r="U34" s="45">
        <v>7</v>
      </c>
      <c r="V34" s="45">
        <v>3</v>
      </c>
      <c r="W34" s="45">
        <v>3</v>
      </c>
      <c r="X34" s="45">
        <v>3</v>
      </c>
      <c r="Y34" s="45">
        <v>8</v>
      </c>
      <c r="Z34" s="45">
        <v>8</v>
      </c>
      <c r="AA34" s="45">
        <v>8</v>
      </c>
      <c r="AB34" s="45">
        <v>8</v>
      </c>
      <c r="AC34" s="45">
        <v>8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8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15.4</v>
      </c>
      <c r="S35" s="45">
        <v>15.4</v>
      </c>
      <c r="T35" s="45">
        <v>15.4</v>
      </c>
      <c r="U35" s="45">
        <v>15.4</v>
      </c>
      <c r="V35" s="45">
        <v>15.4</v>
      </c>
      <c r="W35" s="45">
        <v>15.4</v>
      </c>
      <c r="X35" s="45">
        <v>15.4</v>
      </c>
      <c r="Y35" s="45">
        <v>15.4</v>
      </c>
      <c r="Z35" s="45">
        <v>15.4</v>
      </c>
      <c r="AA35" s="45">
        <v>15.4</v>
      </c>
      <c r="AB35" s="45">
        <v>15.4</v>
      </c>
      <c r="AC35" s="45">
        <v>15.4</v>
      </c>
      <c r="AD35" s="45">
        <v>15.4</v>
      </c>
      <c r="AE35" s="45">
        <v>15.4</v>
      </c>
      <c r="AF35" s="45">
        <v>15.4</v>
      </c>
      <c r="AG35" s="49">
        <v>14.9</v>
      </c>
      <c r="AH35" s="47">
        <f t="shared" si="2"/>
        <v>15.4</v>
      </c>
      <c r="AI35" s="48">
        <f t="shared" si="3"/>
        <v>15.4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2</v>
      </c>
      <c r="G39" s="45">
        <v>2</v>
      </c>
      <c r="H39" s="45">
        <v>4</v>
      </c>
      <c r="I39" s="45">
        <v>4</v>
      </c>
      <c r="J39" s="45">
        <v>4</v>
      </c>
      <c r="K39" s="45">
        <v>4</v>
      </c>
      <c r="L39" s="45">
        <v>8</v>
      </c>
      <c r="M39" s="45">
        <v>8</v>
      </c>
      <c r="N39" s="45">
        <v>6</v>
      </c>
      <c r="O39" s="45">
        <v>8</v>
      </c>
      <c r="P39" s="45">
        <v>8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6</v>
      </c>
      <c r="AA39" s="45">
        <v>6</v>
      </c>
      <c r="AB39" s="45">
        <v>6</v>
      </c>
      <c r="AC39" s="45">
        <v>6</v>
      </c>
      <c r="AD39" s="45">
        <v>6</v>
      </c>
      <c r="AE39" s="45">
        <v>3</v>
      </c>
      <c r="AF39" s="45">
        <v>3</v>
      </c>
      <c r="AG39" s="49">
        <v>12</v>
      </c>
      <c r="AH39" s="47">
        <f t="shared" si="2"/>
        <v>8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8</v>
      </c>
      <c r="N40" s="45">
        <v>8</v>
      </c>
      <c r="O40" s="45">
        <v>8</v>
      </c>
      <c r="P40" s="45">
        <v>8</v>
      </c>
      <c r="Q40" s="45">
        <v>8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8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8</v>
      </c>
      <c r="AI40" s="48">
        <f t="shared" si="3"/>
        <v>8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51">
        <v>11.88</v>
      </c>
      <c r="AH43" s="47">
        <f t="shared" si="2"/>
        <v>0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9.5</v>
      </c>
      <c r="AC45" s="45">
        <v>9.5</v>
      </c>
      <c r="AD45" s="45">
        <v>9.5</v>
      </c>
      <c r="AE45" s="45">
        <v>9.5</v>
      </c>
      <c r="AF45" s="45">
        <v>9.5</v>
      </c>
      <c r="AG45" s="54">
        <v>10</v>
      </c>
      <c r="AH45" s="47">
        <f t="shared" si="2"/>
        <v>9.5</v>
      </c>
      <c r="AI45" s="48">
        <f t="shared" si="3"/>
        <v>9.5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128.6</v>
      </c>
      <c r="C49" s="56">
        <v>128.6</v>
      </c>
      <c r="D49" s="56">
        <v>128.6</v>
      </c>
      <c r="E49" s="56">
        <v>128.6</v>
      </c>
      <c r="F49" s="56">
        <v>128.6</v>
      </c>
      <c r="G49" s="56">
        <v>128.6</v>
      </c>
      <c r="H49" s="56">
        <v>128.6</v>
      </c>
      <c r="I49" s="56">
        <v>127.6</v>
      </c>
      <c r="J49" s="56">
        <v>127.6</v>
      </c>
      <c r="K49" s="56">
        <v>127.6</v>
      </c>
      <c r="L49" s="56">
        <v>111.9</v>
      </c>
      <c r="M49" s="56">
        <v>111.9</v>
      </c>
      <c r="N49" s="58">
        <f>92+36.2</f>
        <v>128.19999999999999</v>
      </c>
      <c r="O49" s="58">
        <f>92+36.2</f>
        <v>128.19999999999999</v>
      </c>
      <c r="P49" s="58">
        <f>92.7+36.8</f>
        <v>129.5</v>
      </c>
      <c r="Q49" s="58">
        <f>80.4+22.7</f>
        <v>103.10000000000001</v>
      </c>
      <c r="R49" s="58">
        <f>92.8+36.7</f>
        <v>129.5</v>
      </c>
      <c r="S49" s="58">
        <v>128.30000000000001</v>
      </c>
      <c r="T49" s="58">
        <v>121.7</v>
      </c>
      <c r="U49" s="58">
        <v>121.8</v>
      </c>
      <c r="V49" s="58">
        <v>121.8</v>
      </c>
      <c r="W49" s="58">
        <v>121.8</v>
      </c>
      <c r="X49" s="58">
        <v>121.8</v>
      </c>
      <c r="Y49" s="58">
        <v>121.8</v>
      </c>
      <c r="Z49" s="58">
        <v>121.8</v>
      </c>
      <c r="AA49" s="56">
        <v>128.6</v>
      </c>
      <c r="AB49" s="56">
        <v>128.6</v>
      </c>
      <c r="AC49" s="56">
        <v>128.6</v>
      </c>
      <c r="AD49" s="56">
        <v>128.6</v>
      </c>
      <c r="AE49" s="56">
        <v>128.6</v>
      </c>
      <c r="AF49" s="56">
        <v>128.6</v>
      </c>
      <c r="AG49" s="54">
        <v>240</v>
      </c>
      <c r="AH49" s="47">
        <f t="shared" si="2"/>
        <v>129.5</v>
      </c>
      <c r="AI49" s="48">
        <f t="shared" si="3"/>
        <v>103.10000000000001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1064.3000000000002</v>
      </c>
      <c r="C50" s="60">
        <f t="shared" si="4"/>
        <v>1064.3000000000002</v>
      </c>
      <c r="D50" s="60">
        <f t="shared" si="4"/>
        <v>1064.3000000000002</v>
      </c>
      <c r="E50" s="60">
        <f t="shared" si="4"/>
        <v>1064.3000000000002</v>
      </c>
      <c r="F50" s="60">
        <f t="shared" ref="F50:G50" si="5">SUM(F11:F48)</f>
        <v>1072.3000000000002</v>
      </c>
      <c r="G50" s="60">
        <f t="shared" si="5"/>
        <v>1066.3000000000002</v>
      </c>
      <c r="H50" s="60">
        <f t="shared" ref="H50" si="6">SUM(H11:H48)</f>
        <v>1093.5999999999999</v>
      </c>
      <c r="I50" s="60">
        <f t="shared" si="4"/>
        <v>1113.5999999999999</v>
      </c>
      <c r="J50" s="60">
        <f t="shared" ref="J50" si="7">SUM(J11:J48)</f>
        <v>1133.2</v>
      </c>
      <c r="K50" s="60">
        <f t="shared" si="4"/>
        <v>1143.2</v>
      </c>
      <c r="L50" s="60">
        <f t="shared" si="4"/>
        <v>1173.9000000000001</v>
      </c>
      <c r="M50" s="60">
        <f t="shared" si="4"/>
        <v>1179.9000000000001</v>
      </c>
      <c r="N50" s="60">
        <f t="shared" si="4"/>
        <v>1160.8000000000002</v>
      </c>
      <c r="O50" s="60">
        <f t="shared" si="4"/>
        <v>1177</v>
      </c>
      <c r="P50" s="60">
        <f t="shared" si="4"/>
        <v>1177</v>
      </c>
      <c r="Q50" s="60">
        <f t="shared" si="4"/>
        <v>1137.5999999999999</v>
      </c>
      <c r="R50" s="60">
        <f t="shared" si="4"/>
        <v>1137.8000000000002</v>
      </c>
      <c r="S50" s="60">
        <f t="shared" si="4"/>
        <v>1124.8000000000002</v>
      </c>
      <c r="T50" s="60">
        <f t="shared" si="4"/>
        <v>1124.8000000000002</v>
      </c>
      <c r="U50" s="60">
        <f t="shared" si="4"/>
        <v>1150.8000000000002</v>
      </c>
      <c r="V50" s="60">
        <f t="shared" si="4"/>
        <v>1163.3000000000002</v>
      </c>
      <c r="W50" s="60">
        <f t="shared" si="4"/>
        <v>1146.3000000000002</v>
      </c>
      <c r="X50" s="60">
        <f t="shared" si="4"/>
        <v>1181.8000000000002</v>
      </c>
      <c r="Y50" s="60">
        <f t="shared" si="4"/>
        <v>1192.8000000000002</v>
      </c>
      <c r="Z50" s="60">
        <f t="shared" si="4"/>
        <v>1192.8000000000002</v>
      </c>
      <c r="AA50" s="60">
        <f t="shared" si="4"/>
        <v>1192.8000000000002</v>
      </c>
      <c r="AB50" s="60">
        <f t="shared" ref="AB50:AC50" si="8">SUM(AB11:AB48)</f>
        <v>1187.8000000000002</v>
      </c>
      <c r="AC50" s="60">
        <f t="shared" si="8"/>
        <v>1187.8000000000002</v>
      </c>
      <c r="AD50" s="60">
        <f t="shared" si="4"/>
        <v>1143.8000000000002</v>
      </c>
      <c r="AE50" s="60">
        <f t="shared" si="4"/>
        <v>1106.2</v>
      </c>
      <c r="AF50" s="60">
        <f t="shared" si="4"/>
        <v>1106.2</v>
      </c>
      <c r="AG50" s="61">
        <f>SUM(AG13:AG48)</f>
        <v>922.14</v>
      </c>
      <c r="AH50" s="47">
        <f t="shared" si="2"/>
        <v>1192.8000000000002</v>
      </c>
      <c r="AI50" s="48">
        <f t="shared" si="3"/>
        <v>1064.3000000000002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56</v>
      </c>
      <c r="D52" s="64">
        <v>56</v>
      </c>
      <c r="E52" s="64">
        <v>56</v>
      </c>
      <c r="F52" s="64">
        <v>56</v>
      </c>
      <c r="G52" s="64">
        <v>56</v>
      </c>
      <c r="H52" s="64">
        <v>56</v>
      </c>
      <c r="I52" s="64">
        <v>56</v>
      </c>
      <c r="J52" s="64">
        <v>55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22.5</v>
      </c>
      <c r="AK53" s="50"/>
    </row>
    <row r="54" spans="1:41" ht="15.75" thickBot="1" x14ac:dyDescent="0.3">
      <c r="A54" s="68" t="s">
        <v>62</v>
      </c>
      <c r="B54" s="60">
        <f t="shared" ref="B54:AG54" si="9">SUM(B51:B53)</f>
        <v>538.5</v>
      </c>
      <c r="C54" s="60">
        <f t="shared" si="9"/>
        <v>534.5</v>
      </c>
      <c r="D54" s="60">
        <f t="shared" si="9"/>
        <v>534.5</v>
      </c>
      <c r="E54" s="60">
        <f t="shared" si="9"/>
        <v>534.5</v>
      </c>
      <c r="F54" s="60">
        <f t="shared" ref="F54:G54" si="10">SUM(F51:F53)</f>
        <v>534.5</v>
      </c>
      <c r="G54" s="60">
        <f t="shared" si="10"/>
        <v>534.5</v>
      </c>
      <c r="H54" s="60">
        <f t="shared" ref="H54" si="11">SUM(H51:H53)</f>
        <v>534.5</v>
      </c>
      <c r="I54" s="60">
        <f t="shared" si="9"/>
        <v>534.5</v>
      </c>
      <c r="J54" s="60">
        <f t="shared" ref="J54" si="12">SUM(J51:J53)</f>
        <v>533.5</v>
      </c>
      <c r="K54" s="60">
        <f t="shared" si="9"/>
        <v>538.5</v>
      </c>
      <c r="L54" s="60">
        <f t="shared" si="9"/>
        <v>538.5</v>
      </c>
      <c r="M54" s="60">
        <f t="shared" si="9"/>
        <v>538.5</v>
      </c>
      <c r="N54" s="60">
        <f t="shared" si="9"/>
        <v>538.5</v>
      </c>
      <c r="O54" s="60">
        <f t="shared" si="9"/>
        <v>538.5</v>
      </c>
      <c r="P54" s="60">
        <f t="shared" si="9"/>
        <v>538.5</v>
      </c>
      <c r="Q54" s="60">
        <f t="shared" si="9"/>
        <v>538.5</v>
      </c>
      <c r="R54" s="60">
        <f t="shared" si="9"/>
        <v>538.5</v>
      </c>
      <c r="S54" s="60">
        <f t="shared" si="9"/>
        <v>538.5</v>
      </c>
      <c r="T54" s="60">
        <f t="shared" si="9"/>
        <v>538.5</v>
      </c>
      <c r="U54" s="60">
        <f t="shared" si="9"/>
        <v>538.5</v>
      </c>
      <c r="V54" s="60">
        <f t="shared" si="9"/>
        <v>538.5</v>
      </c>
      <c r="W54" s="60">
        <f t="shared" si="9"/>
        <v>538.5</v>
      </c>
      <c r="X54" s="60">
        <f t="shared" si="9"/>
        <v>538.5</v>
      </c>
      <c r="Y54" s="60">
        <f t="shared" si="9"/>
        <v>538.5</v>
      </c>
      <c r="Z54" s="60">
        <f t="shared" si="9"/>
        <v>538.5</v>
      </c>
      <c r="AA54" s="60">
        <f t="shared" si="9"/>
        <v>538.5</v>
      </c>
      <c r="AB54" s="60">
        <f t="shared" ref="AB54" si="13">SUM(AB51:AB53)</f>
        <v>538.5</v>
      </c>
      <c r="AC54" s="60">
        <f t="shared" si="9"/>
        <v>538.5</v>
      </c>
      <c r="AD54" s="60">
        <f t="shared" si="9"/>
        <v>538.5</v>
      </c>
      <c r="AE54" s="60">
        <f t="shared" si="9"/>
        <v>528.5</v>
      </c>
      <c r="AF54" s="60">
        <f t="shared" si="9"/>
        <v>528.5</v>
      </c>
      <c r="AG54" s="61">
        <f t="shared" si="9"/>
        <v>538.1</v>
      </c>
      <c r="AH54" s="47">
        <f t="shared" si="2"/>
        <v>538.5</v>
      </c>
      <c r="AI54" s="48">
        <f t="shared" si="3"/>
        <v>528.5</v>
      </c>
      <c r="AK54" s="50"/>
    </row>
    <row r="55" spans="1:41" x14ac:dyDescent="0.25">
      <c r="A55" s="44" t="s">
        <v>63</v>
      </c>
      <c r="B55" s="45">
        <v>140</v>
      </c>
      <c r="C55" s="45">
        <v>140</v>
      </c>
      <c r="D55" s="45">
        <v>141</v>
      </c>
      <c r="E55" s="45">
        <v>141</v>
      </c>
      <c r="F55" s="45">
        <v>141</v>
      </c>
      <c r="G55" s="45">
        <v>141</v>
      </c>
      <c r="H55" s="45">
        <v>141</v>
      </c>
      <c r="I55" s="45">
        <v>141</v>
      </c>
      <c r="J55" s="45">
        <v>143</v>
      </c>
      <c r="K55" s="45">
        <v>143</v>
      </c>
      <c r="L55" s="45">
        <v>143</v>
      </c>
      <c r="M55" s="45">
        <v>143</v>
      </c>
      <c r="N55" s="45">
        <v>143</v>
      </c>
      <c r="O55" s="45">
        <v>143</v>
      </c>
      <c r="P55" s="45">
        <v>143</v>
      </c>
      <c r="Q55" s="45">
        <v>143.1</v>
      </c>
      <c r="R55" s="45">
        <v>143.1</v>
      </c>
      <c r="S55" s="45">
        <v>143.1</v>
      </c>
      <c r="T55" s="45">
        <v>143.1</v>
      </c>
      <c r="U55" s="45">
        <v>143.1</v>
      </c>
      <c r="V55" s="45">
        <v>143.1</v>
      </c>
      <c r="W55" s="45">
        <v>143.1</v>
      </c>
      <c r="X55" s="45">
        <v>143.1</v>
      </c>
      <c r="Y55" s="45">
        <v>143.1</v>
      </c>
      <c r="Z55" s="45">
        <v>143.1</v>
      </c>
      <c r="AA55" s="45">
        <v>143.1</v>
      </c>
      <c r="AB55" s="45">
        <v>143.1</v>
      </c>
      <c r="AC55" s="45">
        <v>143.1</v>
      </c>
      <c r="AD55" s="45">
        <v>143.1</v>
      </c>
      <c r="AE55" s="45">
        <v>143.1</v>
      </c>
      <c r="AF55" s="45">
        <v>143.1</v>
      </c>
      <c r="AG55" s="51">
        <v>144</v>
      </c>
      <c r="AH55" s="47">
        <f t="shared" si="2"/>
        <v>143.1</v>
      </c>
      <c r="AI55" s="48">
        <f t="shared" si="3"/>
        <v>140</v>
      </c>
      <c r="AK55" s="50"/>
    </row>
    <row r="56" spans="1:41" x14ac:dyDescent="0.25">
      <c r="A56" s="53" t="s">
        <v>64</v>
      </c>
      <c r="B56" s="64">
        <v>61</v>
      </c>
      <c r="C56" s="64">
        <v>61</v>
      </c>
      <c r="D56" s="64">
        <v>61</v>
      </c>
      <c r="E56" s="64">
        <v>61</v>
      </c>
      <c r="F56" s="64">
        <v>61</v>
      </c>
      <c r="G56" s="64">
        <v>61</v>
      </c>
      <c r="H56" s="64">
        <v>61</v>
      </c>
      <c r="I56" s="64">
        <v>61</v>
      </c>
      <c r="J56" s="64">
        <v>61</v>
      </c>
      <c r="K56" s="64">
        <v>61</v>
      </c>
      <c r="L56" s="64">
        <v>61</v>
      </c>
      <c r="M56" s="64">
        <v>61</v>
      </c>
      <c r="N56" s="64">
        <v>70</v>
      </c>
      <c r="O56" s="64">
        <v>70</v>
      </c>
      <c r="P56" s="64">
        <v>70</v>
      </c>
      <c r="Q56" s="64">
        <v>70</v>
      </c>
      <c r="R56" s="64">
        <v>70</v>
      </c>
      <c r="S56" s="64">
        <v>70</v>
      </c>
      <c r="T56" s="64">
        <v>70</v>
      </c>
      <c r="U56" s="64">
        <v>70</v>
      </c>
      <c r="V56" s="64">
        <v>70</v>
      </c>
      <c r="W56" s="64">
        <v>70</v>
      </c>
      <c r="X56" s="64">
        <v>70</v>
      </c>
      <c r="Y56" s="64">
        <v>70</v>
      </c>
      <c r="Z56" s="64">
        <v>70</v>
      </c>
      <c r="AA56" s="64">
        <v>70</v>
      </c>
      <c r="AB56" s="64">
        <v>70</v>
      </c>
      <c r="AC56" s="64">
        <v>70</v>
      </c>
      <c r="AD56" s="64">
        <v>70</v>
      </c>
      <c r="AE56" s="64">
        <v>70</v>
      </c>
      <c r="AF56" s="64">
        <v>70</v>
      </c>
      <c r="AG56" s="54">
        <v>70</v>
      </c>
      <c r="AH56" s="47">
        <f t="shared" si="2"/>
        <v>70</v>
      </c>
      <c r="AI56" s="48">
        <f t="shared" si="3"/>
        <v>61</v>
      </c>
      <c r="AK56" s="50"/>
    </row>
    <row r="57" spans="1:41" x14ac:dyDescent="0.25">
      <c r="A57" s="53" t="s">
        <v>65</v>
      </c>
      <c r="B57" s="64">
        <v>65</v>
      </c>
      <c r="C57" s="64">
        <v>65</v>
      </c>
      <c r="D57" s="64">
        <v>64.3</v>
      </c>
      <c r="E57" s="64">
        <v>64.3</v>
      </c>
      <c r="F57" s="64">
        <v>64.3</v>
      </c>
      <c r="G57" s="64">
        <v>64.3</v>
      </c>
      <c r="H57" s="64">
        <v>64.3</v>
      </c>
      <c r="I57" s="64">
        <v>64.3</v>
      </c>
      <c r="J57" s="64">
        <v>64.3</v>
      </c>
      <c r="K57" s="64">
        <v>64.3</v>
      </c>
      <c r="L57" s="64">
        <v>64.3</v>
      </c>
      <c r="M57" s="64">
        <v>64.3</v>
      </c>
      <c r="N57" s="64">
        <v>65.400000000000006</v>
      </c>
      <c r="O57" s="64">
        <v>65.400000000000006</v>
      </c>
      <c r="P57" s="64">
        <v>65.400000000000006</v>
      </c>
      <c r="Q57" s="64">
        <v>65</v>
      </c>
      <c r="R57" s="64">
        <v>65.900000000000006</v>
      </c>
      <c r="S57" s="64">
        <v>62</v>
      </c>
      <c r="T57" s="64">
        <v>66</v>
      </c>
      <c r="U57" s="64">
        <v>66</v>
      </c>
      <c r="V57" s="64">
        <v>66</v>
      </c>
      <c r="W57" s="64">
        <v>66</v>
      </c>
      <c r="X57" s="64">
        <v>66</v>
      </c>
      <c r="Y57" s="64">
        <v>66</v>
      </c>
      <c r="Z57" s="64">
        <v>66</v>
      </c>
      <c r="AA57" s="64">
        <v>66</v>
      </c>
      <c r="AB57" s="64">
        <v>53</v>
      </c>
      <c r="AC57" s="64">
        <v>53</v>
      </c>
      <c r="AD57" s="64">
        <v>53</v>
      </c>
      <c r="AE57" s="64">
        <v>53</v>
      </c>
      <c r="AF57" s="64">
        <v>53</v>
      </c>
      <c r="AG57" s="54">
        <v>69</v>
      </c>
      <c r="AH57" s="47">
        <f t="shared" si="2"/>
        <v>66</v>
      </c>
      <c r="AI57" s="48">
        <f t="shared" si="3"/>
        <v>53</v>
      </c>
      <c r="AK57" s="50"/>
    </row>
    <row r="58" spans="1:41" x14ac:dyDescent="0.25">
      <c r="A58" s="53" t="s">
        <v>66</v>
      </c>
      <c r="B58" s="64">
        <v>60.4</v>
      </c>
      <c r="C58" s="64">
        <v>60.4</v>
      </c>
      <c r="D58" s="64">
        <v>60.4</v>
      </c>
      <c r="E58" s="64">
        <v>60.4</v>
      </c>
      <c r="F58" s="64">
        <v>60.4</v>
      </c>
      <c r="G58" s="64">
        <v>60.4</v>
      </c>
      <c r="H58" s="64">
        <v>60.4</v>
      </c>
      <c r="I58" s="64">
        <v>60.4</v>
      </c>
      <c r="J58" s="64">
        <v>60.4</v>
      </c>
      <c r="K58" s="64">
        <v>60.4</v>
      </c>
      <c r="L58" s="64">
        <v>60.4</v>
      </c>
      <c r="M58" s="64">
        <v>60.4</v>
      </c>
      <c r="N58" s="64">
        <v>61.2</v>
      </c>
      <c r="O58" s="64">
        <v>61.2</v>
      </c>
      <c r="P58" s="64">
        <v>61.2</v>
      </c>
      <c r="Q58" s="64">
        <v>61.2</v>
      </c>
      <c r="R58" s="64">
        <v>60.2</v>
      </c>
      <c r="S58" s="64">
        <v>58</v>
      </c>
      <c r="T58" s="64">
        <v>60</v>
      </c>
      <c r="U58" s="64">
        <v>60</v>
      </c>
      <c r="V58" s="64">
        <v>60</v>
      </c>
      <c r="W58" s="64">
        <v>60</v>
      </c>
      <c r="X58" s="64">
        <v>60</v>
      </c>
      <c r="Y58" s="64">
        <v>60</v>
      </c>
      <c r="Z58" s="64">
        <v>60</v>
      </c>
      <c r="AA58" s="64">
        <v>60</v>
      </c>
      <c r="AB58" s="64">
        <v>60</v>
      </c>
      <c r="AC58" s="64">
        <v>60</v>
      </c>
      <c r="AD58" s="64">
        <v>60</v>
      </c>
      <c r="AE58" s="64">
        <v>60</v>
      </c>
      <c r="AF58" s="64">
        <v>60</v>
      </c>
      <c r="AG58" s="54">
        <v>60</v>
      </c>
      <c r="AH58" s="47">
        <f t="shared" si="2"/>
        <v>61.2</v>
      </c>
      <c r="AI58" s="48">
        <f t="shared" si="3"/>
        <v>58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64">
        <v>30</v>
      </c>
      <c r="G59" s="64">
        <v>30</v>
      </c>
      <c r="H59" s="64">
        <v>30</v>
      </c>
      <c r="I59" s="64">
        <v>30</v>
      </c>
      <c r="J59" s="64">
        <v>30</v>
      </c>
      <c r="K59" s="64">
        <v>30</v>
      </c>
      <c r="L59" s="64">
        <v>30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64">
        <v>29</v>
      </c>
      <c r="AC59" s="64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30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10.7</v>
      </c>
      <c r="O60" s="64">
        <v>13.6</v>
      </c>
      <c r="P60" s="64">
        <v>13.6</v>
      </c>
      <c r="Q60" s="64">
        <v>13.6</v>
      </c>
      <c r="R60" s="64">
        <v>12.4</v>
      </c>
      <c r="S60" s="64">
        <v>14.8</v>
      </c>
      <c r="T60" s="64">
        <v>14.8</v>
      </c>
      <c r="U60" s="64">
        <v>10</v>
      </c>
      <c r="V60" s="64">
        <v>10</v>
      </c>
      <c r="W60" s="64">
        <v>10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14.8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4</v>
      </c>
      <c r="C62" s="64">
        <v>4</v>
      </c>
      <c r="D62" s="64">
        <v>4</v>
      </c>
      <c r="E62" s="64">
        <v>4</v>
      </c>
      <c r="F62" s="64">
        <v>4</v>
      </c>
      <c r="G62" s="64">
        <v>4</v>
      </c>
      <c r="H62" s="64">
        <v>4</v>
      </c>
      <c r="I62" s="64">
        <v>4</v>
      </c>
      <c r="J62" s="64">
        <v>4</v>
      </c>
      <c r="K62" s="64">
        <v>4</v>
      </c>
      <c r="L62" s="64">
        <v>4</v>
      </c>
      <c r="M62" s="64">
        <v>4</v>
      </c>
      <c r="N62" s="64">
        <v>4</v>
      </c>
      <c r="O62" s="64">
        <v>4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4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8.5</v>
      </c>
      <c r="C63" s="64">
        <v>8.5</v>
      </c>
      <c r="D63" s="64">
        <v>8.5</v>
      </c>
      <c r="E63" s="64">
        <v>8.8000000000000007</v>
      </c>
      <c r="F63" s="64">
        <v>8.8000000000000007</v>
      </c>
      <c r="G63" s="64">
        <v>8.8000000000000007</v>
      </c>
      <c r="H63" s="64">
        <v>8.8000000000000007</v>
      </c>
      <c r="I63" s="64">
        <v>8.8000000000000007</v>
      </c>
      <c r="J63" s="64">
        <v>8.8000000000000007</v>
      </c>
      <c r="K63" s="64">
        <v>8.8000000000000007</v>
      </c>
      <c r="L63" s="64">
        <v>8.8000000000000007</v>
      </c>
      <c r="M63" s="64">
        <v>8.8000000000000007</v>
      </c>
      <c r="N63" s="64">
        <v>8.8000000000000007</v>
      </c>
      <c r="O63" s="64">
        <v>8.8000000000000007</v>
      </c>
      <c r="P63" s="64">
        <v>8.8000000000000007</v>
      </c>
      <c r="Q63" s="64">
        <v>8.8000000000000007</v>
      </c>
      <c r="R63" s="64">
        <v>8.8000000000000007</v>
      </c>
      <c r="S63" s="64">
        <v>8.8000000000000007</v>
      </c>
      <c r="T63" s="64">
        <v>8.8000000000000007</v>
      </c>
      <c r="U63" s="64">
        <v>8.8000000000000007</v>
      </c>
      <c r="V63" s="64">
        <v>8.8000000000000007</v>
      </c>
      <c r="W63" s="64">
        <v>8.8000000000000007</v>
      </c>
      <c r="X63" s="64">
        <v>8.8000000000000007</v>
      </c>
      <c r="Y63" s="64">
        <v>8.8000000000000007</v>
      </c>
      <c r="Z63" s="64">
        <v>8.8000000000000007</v>
      </c>
      <c r="AA63" s="64">
        <v>8.8000000000000007</v>
      </c>
      <c r="AB63" s="64">
        <v>8.8000000000000007</v>
      </c>
      <c r="AC63" s="64">
        <v>8.8000000000000007</v>
      </c>
      <c r="AD63" s="64">
        <v>8.8000000000000007</v>
      </c>
      <c r="AE63" s="64">
        <v>8.8000000000000007</v>
      </c>
      <c r="AF63" s="64">
        <v>8.8000000000000007</v>
      </c>
      <c r="AG63" s="54">
        <v>14.1</v>
      </c>
      <c r="AH63" s="47">
        <f t="shared" si="2"/>
        <v>8.8000000000000007</v>
      </c>
      <c r="AI63" s="48">
        <f t="shared" si="3"/>
        <v>8.5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8.8000000000000007</v>
      </c>
      <c r="C64" s="64">
        <v>8.8000000000000007</v>
      </c>
      <c r="D64" s="64">
        <v>8.8000000000000007</v>
      </c>
      <c r="E64" s="64">
        <v>14</v>
      </c>
      <c r="F64" s="64">
        <v>11</v>
      </c>
      <c r="G64" s="64">
        <v>11</v>
      </c>
      <c r="H64" s="64">
        <v>11</v>
      </c>
      <c r="I64" s="64">
        <v>11</v>
      </c>
      <c r="J64" s="64">
        <v>11</v>
      </c>
      <c r="K64" s="64">
        <v>11</v>
      </c>
      <c r="L64" s="64">
        <v>11</v>
      </c>
      <c r="M64" s="64">
        <v>11</v>
      </c>
      <c r="N64" s="64">
        <v>11</v>
      </c>
      <c r="O64" s="64">
        <v>11</v>
      </c>
      <c r="P64" s="64">
        <v>11</v>
      </c>
      <c r="Q64" s="64">
        <v>11</v>
      </c>
      <c r="R64" s="64">
        <v>11</v>
      </c>
      <c r="S64" s="64">
        <v>11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14</v>
      </c>
      <c r="AF64" s="64">
        <v>14</v>
      </c>
      <c r="AG64" s="54">
        <v>14</v>
      </c>
      <c r="AH64" s="47">
        <f t="shared" si="2"/>
        <v>14</v>
      </c>
      <c r="AI64" s="48">
        <f t="shared" si="3"/>
        <v>8.8000000000000007</v>
      </c>
      <c r="AK64" s="50"/>
    </row>
    <row r="65" spans="1:40" x14ac:dyDescent="0.25">
      <c r="A65" s="53" t="s">
        <v>73</v>
      </c>
      <c r="B65" s="64">
        <v>4</v>
      </c>
      <c r="C65" s="64">
        <v>4</v>
      </c>
      <c r="D65" s="64">
        <v>4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4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4">SUM(B55:B67)</f>
        <v>405.44</v>
      </c>
      <c r="C68" s="60">
        <f t="shared" si="14"/>
        <v>405.44</v>
      </c>
      <c r="D68" s="60">
        <f t="shared" si="14"/>
        <v>405.74</v>
      </c>
      <c r="E68" s="60">
        <f t="shared" si="14"/>
        <v>417.44</v>
      </c>
      <c r="F68" s="60">
        <f t="shared" si="14"/>
        <v>414.44</v>
      </c>
      <c r="G68" s="60">
        <f t="shared" ref="G68" si="15">SUM(G55:G67)</f>
        <v>414.44</v>
      </c>
      <c r="H68" s="60">
        <f t="shared" si="14"/>
        <v>414.44</v>
      </c>
      <c r="I68" s="60">
        <f t="shared" si="14"/>
        <v>414.44</v>
      </c>
      <c r="J68" s="60">
        <f t="shared" si="14"/>
        <v>416.44</v>
      </c>
      <c r="K68" s="60">
        <f t="shared" si="14"/>
        <v>416.44</v>
      </c>
      <c r="L68" s="60">
        <f t="shared" si="14"/>
        <v>416.44</v>
      </c>
      <c r="M68" s="60">
        <f t="shared" si="14"/>
        <v>415.44</v>
      </c>
      <c r="N68" s="60">
        <f t="shared" si="14"/>
        <v>437.03999999999996</v>
      </c>
      <c r="O68" s="60">
        <f t="shared" si="14"/>
        <v>439.94</v>
      </c>
      <c r="P68" s="60">
        <f t="shared" si="14"/>
        <v>435.94</v>
      </c>
      <c r="Q68" s="60">
        <f t="shared" si="14"/>
        <v>435.64000000000004</v>
      </c>
      <c r="R68" s="60">
        <f t="shared" si="14"/>
        <v>434.34</v>
      </c>
      <c r="S68" s="60">
        <f t="shared" si="14"/>
        <v>430.64000000000004</v>
      </c>
      <c r="T68" s="60">
        <f t="shared" si="14"/>
        <v>439.64000000000004</v>
      </c>
      <c r="U68" s="60">
        <f t="shared" si="14"/>
        <v>434.84000000000003</v>
      </c>
      <c r="V68" s="60">
        <f t="shared" si="14"/>
        <v>434.84000000000003</v>
      </c>
      <c r="W68" s="60">
        <f t="shared" si="14"/>
        <v>434.84000000000003</v>
      </c>
      <c r="X68" s="60">
        <f t="shared" si="14"/>
        <v>424.84000000000003</v>
      </c>
      <c r="Y68" s="60">
        <f t="shared" si="14"/>
        <v>424.84000000000003</v>
      </c>
      <c r="Z68" s="60">
        <f t="shared" si="14"/>
        <v>424.84000000000003</v>
      </c>
      <c r="AA68" s="60">
        <f t="shared" si="14"/>
        <v>424.84000000000003</v>
      </c>
      <c r="AB68" s="60">
        <f t="shared" ref="AB68" si="16">SUM(AB55:AB67)</f>
        <v>411.84000000000003</v>
      </c>
      <c r="AC68" s="60">
        <f t="shared" si="14"/>
        <v>411.84000000000003</v>
      </c>
      <c r="AD68" s="60">
        <f t="shared" si="14"/>
        <v>411.84000000000003</v>
      </c>
      <c r="AE68" s="60">
        <f t="shared" si="14"/>
        <v>411.84000000000003</v>
      </c>
      <c r="AF68" s="60">
        <f t="shared" si="14"/>
        <v>411.84000000000003</v>
      </c>
      <c r="AG68" s="61">
        <f t="shared" si="14"/>
        <v>489.91</v>
      </c>
      <c r="AH68" s="47">
        <f t="shared" si="2"/>
        <v>439.94</v>
      </c>
      <c r="AI68" s="48">
        <f t="shared" si="3"/>
        <v>405.44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>
        <v>10</v>
      </c>
      <c r="Q69" s="45">
        <v>10</v>
      </c>
      <c r="R69" s="45"/>
      <c r="S69" s="45">
        <v>14.9</v>
      </c>
      <c r="T69" s="45">
        <v>14.9</v>
      </c>
      <c r="U69" s="45">
        <v>0</v>
      </c>
      <c r="V69" s="45"/>
      <c r="W69" s="45"/>
      <c r="X69" s="45"/>
      <c r="Y69" s="45">
        <v>29.1</v>
      </c>
      <c r="Z69" s="45">
        <v>29.1</v>
      </c>
      <c r="AA69" s="45">
        <v>14.8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29.1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>
        <v>5.3</v>
      </c>
      <c r="Q70" s="64">
        <v>4.4000000000000004</v>
      </c>
      <c r="R70" s="64"/>
      <c r="S70" s="64">
        <v>8.9</v>
      </c>
      <c r="T70" s="64">
        <v>8.9</v>
      </c>
      <c r="U70" s="64">
        <v>6.8</v>
      </c>
      <c r="V70" s="64"/>
      <c r="W70" s="64"/>
      <c r="X70" s="64"/>
      <c r="Y70" s="64">
        <v>4.0999999999999996</v>
      </c>
      <c r="Z70" s="64">
        <v>4.0999999999999996</v>
      </c>
      <c r="AA70" s="64">
        <v>10.7</v>
      </c>
      <c r="AB70" s="64">
        <v>4.8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10.7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>
        <v>1.9</v>
      </c>
      <c r="Q71" s="66">
        <v>1.6</v>
      </c>
      <c r="R71" s="66"/>
      <c r="S71" s="66">
        <v>3.3</v>
      </c>
      <c r="T71" s="66">
        <v>3.3</v>
      </c>
      <c r="U71" s="66">
        <v>2.5</v>
      </c>
      <c r="V71" s="66"/>
      <c r="W71" s="66"/>
      <c r="X71" s="66"/>
      <c r="Y71" s="66">
        <v>1.5</v>
      </c>
      <c r="Z71" s="66">
        <v>1.5</v>
      </c>
      <c r="AA71" s="66">
        <v>3.9</v>
      </c>
      <c r="AB71" s="66">
        <v>1.8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3.9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7">M69+M70+M71</f>
        <v>0</v>
      </c>
      <c r="N72" s="60">
        <f t="shared" si="17"/>
        <v>0</v>
      </c>
      <c r="O72" s="60">
        <f t="shared" si="17"/>
        <v>0</v>
      </c>
      <c r="P72" s="60">
        <f t="shared" si="17"/>
        <v>17.2</v>
      </c>
      <c r="Q72" s="60">
        <f t="shared" si="17"/>
        <v>16</v>
      </c>
      <c r="R72" s="60">
        <f t="shared" si="17"/>
        <v>0</v>
      </c>
      <c r="S72" s="60">
        <f t="shared" si="17"/>
        <v>27.1</v>
      </c>
      <c r="T72" s="60">
        <f t="shared" si="17"/>
        <v>27.1</v>
      </c>
      <c r="U72" s="60">
        <f t="shared" si="17"/>
        <v>9.3000000000000007</v>
      </c>
      <c r="V72" s="60">
        <f t="shared" si="17"/>
        <v>0</v>
      </c>
      <c r="W72" s="60">
        <f t="shared" si="17"/>
        <v>0</v>
      </c>
      <c r="X72" s="60">
        <f t="shared" si="17"/>
        <v>0</v>
      </c>
      <c r="Y72" s="60">
        <f t="shared" si="17"/>
        <v>34.700000000000003</v>
      </c>
      <c r="Z72" s="60">
        <f t="shared" si="17"/>
        <v>34.700000000000003</v>
      </c>
      <c r="AA72" s="60">
        <f t="shared" si="17"/>
        <v>29.4</v>
      </c>
      <c r="AB72" s="60">
        <f t="shared" ref="AB72" si="18">AB69+AB70+AB71</f>
        <v>6.6</v>
      </c>
      <c r="AC72" s="60">
        <f t="shared" si="17"/>
        <v>0</v>
      </c>
      <c r="AD72" s="60">
        <f t="shared" si="17"/>
        <v>0</v>
      </c>
      <c r="AE72" s="60">
        <f t="shared" si="17"/>
        <v>0</v>
      </c>
      <c r="AF72" s="60">
        <f t="shared" si="17"/>
        <v>0</v>
      </c>
      <c r="AG72" s="61">
        <f>SUM(AG69:AG71)</f>
        <v>106</v>
      </c>
      <c r="AH72" s="47">
        <f t="shared" si="2"/>
        <v>34.700000000000003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-32</v>
      </c>
      <c r="C73" s="45">
        <v>-29</v>
      </c>
      <c r="D73" s="45">
        <v>-35</v>
      </c>
      <c r="E73" s="45">
        <v>-38</v>
      </c>
      <c r="F73" s="45">
        <v>-48</v>
      </c>
      <c r="G73" s="45">
        <v>-47</v>
      </c>
      <c r="H73" s="45">
        <v>-46</v>
      </c>
      <c r="I73" s="45">
        <v>-53.8</v>
      </c>
      <c r="J73" s="45">
        <v>-56</v>
      </c>
      <c r="K73" s="45">
        <v>-58.2</v>
      </c>
      <c r="L73" s="45">
        <v>-60.2</v>
      </c>
      <c r="M73" s="45">
        <v>-56.6</v>
      </c>
      <c r="N73" s="45">
        <v>-59.9</v>
      </c>
      <c r="O73" s="45">
        <v>-52.8</v>
      </c>
      <c r="P73" s="45">
        <v>-68</v>
      </c>
      <c r="Q73" s="45">
        <v>-64</v>
      </c>
      <c r="R73" s="45"/>
      <c r="S73" s="45">
        <v>-57.3</v>
      </c>
      <c r="T73" s="45">
        <v>-49.5</v>
      </c>
      <c r="U73" s="45">
        <v>-37.799999999999997</v>
      </c>
      <c r="V73" s="45">
        <v>-38</v>
      </c>
      <c r="W73" s="45">
        <v>-54</v>
      </c>
      <c r="X73" s="45">
        <v>-39</v>
      </c>
      <c r="Y73" s="45">
        <v>-47</v>
      </c>
      <c r="Z73" s="45">
        <v>37.200000000000003</v>
      </c>
      <c r="AA73" s="45">
        <v>-9.1</v>
      </c>
      <c r="AB73" s="45">
        <v>-9.1999999999999993</v>
      </c>
      <c r="AC73" s="45">
        <v>-10</v>
      </c>
      <c r="AD73" s="45">
        <v>-30</v>
      </c>
      <c r="AE73" s="45">
        <v>-39</v>
      </c>
      <c r="AF73" s="45">
        <v>-40</v>
      </c>
      <c r="AG73" s="51"/>
      <c r="AH73" s="47">
        <f t="shared" si="2"/>
        <v>37.200000000000003</v>
      </c>
      <c r="AI73" s="48">
        <f t="shared" si="3"/>
        <v>-68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>
        <v>0</v>
      </c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-345</v>
      </c>
      <c r="C75" s="64">
        <v>-340</v>
      </c>
      <c r="D75" s="64">
        <v>-360</v>
      </c>
      <c r="E75" s="64">
        <v>-355</v>
      </c>
      <c r="F75" s="64">
        <v>-408</v>
      </c>
      <c r="G75" s="64">
        <v>-409</v>
      </c>
      <c r="H75" s="64">
        <v>-451</v>
      </c>
      <c r="I75" s="64">
        <v>-472</v>
      </c>
      <c r="J75" s="64">
        <v>-447</v>
      </c>
      <c r="K75" s="64">
        <v>-418</v>
      </c>
      <c r="L75" s="64">
        <v>-432</v>
      </c>
      <c r="M75" s="64">
        <v>-450</v>
      </c>
      <c r="N75" s="64">
        <v>-433.1</v>
      </c>
      <c r="O75" s="64">
        <v>-390</v>
      </c>
      <c r="P75" s="64">
        <v>-389</v>
      </c>
      <c r="Q75" s="64">
        <v>-340</v>
      </c>
      <c r="R75" s="64"/>
      <c r="S75" s="64">
        <v>-381</v>
      </c>
      <c r="T75" s="64">
        <v>-387</v>
      </c>
      <c r="U75" s="64">
        <v>-427</v>
      </c>
      <c r="V75" s="64">
        <v>-456</v>
      </c>
      <c r="W75" s="64">
        <v>-429</v>
      </c>
      <c r="X75" s="64">
        <v>-442</v>
      </c>
      <c r="Y75" s="64">
        <v>-419</v>
      </c>
      <c r="Z75" s="64">
        <v>-388</v>
      </c>
      <c r="AA75" s="64">
        <v>-392</v>
      </c>
      <c r="AB75" s="64">
        <v>-408.5</v>
      </c>
      <c r="AC75" s="64">
        <v>-380</v>
      </c>
      <c r="AD75" s="64">
        <v>-370</v>
      </c>
      <c r="AE75" s="64">
        <v>-360</v>
      </c>
      <c r="AF75" s="64">
        <v>-375</v>
      </c>
      <c r="AG75" s="74"/>
      <c r="AH75" s="47">
        <f t="shared" si="2"/>
        <v>-340</v>
      </c>
      <c r="AI75" s="48">
        <f t="shared" si="3"/>
        <v>-472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9">MAX(B77:AF77)</f>
        <v>0</v>
      </c>
      <c r="AI77" s="48">
        <f t="shared" ref="AI77:AI120" si="20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9"/>
        <v>0</v>
      </c>
      <c r="AI78" s="48">
        <f t="shared" si="20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9"/>
        <v>0</v>
      </c>
      <c r="AI79" s="48">
        <f t="shared" si="2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9"/>
        <v>0</v>
      </c>
      <c r="AI80" s="48">
        <f t="shared" si="2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9"/>
        <v>0</v>
      </c>
      <c r="AI81" s="48">
        <f t="shared" si="2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9"/>
        <v>0</v>
      </c>
      <c r="AI82" s="48">
        <f t="shared" si="2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9"/>
        <v>0</v>
      </c>
      <c r="AI83" s="48">
        <f t="shared" si="2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21">SUMIF(B73:B83,"&gt;0")</f>
        <v>0</v>
      </c>
      <c r="C84" s="60">
        <f t="shared" si="21"/>
        <v>0</v>
      </c>
      <c r="D84" s="60">
        <f t="shared" si="21"/>
        <v>0</v>
      </c>
      <c r="E84" s="60">
        <f t="shared" si="21"/>
        <v>0</v>
      </c>
      <c r="F84" s="60">
        <f t="shared" si="21"/>
        <v>0</v>
      </c>
      <c r="G84" s="60">
        <f t="shared" si="21"/>
        <v>0</v>
      </c>
      <c r="H84" s="60">
        <f t="shared" si="21"/>
        <v>0</v>
      </c>
      <c r="I84" s="60">
        <f t="shared" si="21"/>
        <v>0</v>
      </c>
      <c r="J84" s="60">
        <f t="shared" si="21"/>
        <v>0</v>
      </c>
      <c r="K84" s="60">
        <f t="shared" si="21"/>
        <v>0</v>
      </c>
      <c r="L84" s="60">
        <f t="shared" si="21"/>
        <v>0</v>
      </c>
      <c r="M84" s="60">
        <f t="shared" si="21"/>
        <v>0</v>
      </c>
      <c r="N84" s="60">
        <f t="shared" si="21"/>
        <v>0</v>
      </c>
      <c r="O84" s="60">
        <f t="shared" si="21"/>
        <v>0</v>
      </c>
      <c r="P84" s="60">
        <f t="shared" si="21"/>
        <v>0</v>
      </c>
      <c r="Q84" s="60">
        <f t="shared" si="21"/>
        <v>0</v>
      </c>
      <c r="R84" s="60">
        <f t="shared" si="21"/>
        <v>0</v>
      </c>
      <c r="S84" s="60">
        <f t="shared" si="21"/>
        <v>0</v>
      </c>
      <c r="T84" s="60">
        <f t="shared" si="21"/>
        <v>0</v>
      </c>
      <c r="U84" s="60">
        <f t="shared" si="21"/>
        <v>0</v>
      </c>
      <c r="V84" s="60">
        <f t="shared" si="21"/>
        <v>0</v>
      </c>
      <c r="W84" s="60">
        <f t="shared" si="21"/>
        <v>0</v>
      </c>
      <c r="X84" s="60">
        <f t="shared" si="21"/>
        <v>0</v>
      </c>
      <c r="Y84" s="60">
        <f t="shared" si="21"/>
        <v>0</v>
      </c>
      <c r="Z84" s="60">
        <f t="shared" si="21"/>
        <v>37.200000000000003</v>
      </c>
      <c r="AA84" s="60">
        <f t="shared" si="21"/>
        <v>0</v>
      </c>
      <c r="AB84" s="60">
        <f t="shared" ref="AB84" si="22">SUMIF(AB73:AB83,"&gt;0")</f>
        <v>0</v>
      </c>
      <c r="AC84" s="60">
        <f t="shared" si="21"/>
        <v>0</v>
      </c>
      <c r="AD84" s="60">
        <f t="shared" si="21"/>
        <v>0</v>
      </c>
      <c r="AE84" s="60">
        <f t="shared" si="21"/>
        <v>0</v>
      </c>
      <c r="AF84" s="60">
        <f t="shared" si="21"/>
        <v>0</v>
      </c>
      <c r="AG84" s="87">
        <f>SUM(AG73:AG83)</f>
        <v>0</v>
      </c>
      <c r="AH84" s="47">
        <f t="shared" si="19"/>
        <v>37.200000000000003</v>
      </c>
      <c r="AI84" s="48">
        <f t="shared" si="20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9"/>
        <v>0</v>
      </c>
      <c r="AI85" s="48">
        <f t="shared" si="20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9"/>
        <v>0</v>
      </c>
      <c r="AI86" s="48">
        <f t="shared" si="2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9"/>
        <v>0</v>
      </c>
      <c r="AI87" s="48">
        <f t="shared" si="2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9"/>
        <v>0</v>
      </c>
      <c r="AI88" s="48">
        <f t="shared" si="20"/>
        <v>0</v>
      </c>
    </row>
    <row r="89" spans="1:40" ht="15.75" thickBot="1" x14ac:dyDescent="0.3">
      <c r="A89" s="73" t="s">
        <v>100</v>
      </c>
      <c r="B89" s="94">
        <f t="shared" ref="B89:AG89" si="23">B50+B54+B72+B68+B84+B88</f>
        <v>2008.2400000000002</v>
      </c>
      <c r="C89" s="94">
        <f t="shared" si="23"/>
        <v>2004.2400000000002</v>
      </c>
      <c r="D89" s="94">
        <f t="shared" si="23"/>
        <v>2004.5400000000002</v>
      </c>
      <c r="E89" s="94">
        <f t="shared" si="23"/>
        <v>2016.2400000000002</v>
      </c>
      <c r="F89" s="94">
        <f t="shared" si="23"/>
        <v>2021.2400000000002</v>
      </c>
      <c r="G89" s="94">
        <f t="shared" si="23"/>
        <v>2015.2400000000002</v>
      </c>
      <c r="H89" s="94">
        <f t="shared" si="23"/>
        <v>2042.54</v>
      </c>
      <c r="I89" s="94">
        <f t="shared" si="23"/>
        <v>2062.54</v>
      </c>
      <c r="J89" s="94">
        <f t="shared" si="23"/>
        <v>2083.14</v>
      </c>
      <c r="K89" s="94">
        <f t="shared" si="23"/>
        <v>2098.14</v>
      </c>
      <c r="L89" s="94">
        <f t="shared" si="23"/>
        <v>2128.84</v>
      </c>
      <c r="M89" s="94">
        <f t="shared" si="23"/>
        <v>2133.84</v>
      </c>
      <c r="N89" s="94">
        <f t="shared" si="23"/>
        <v>2136.34</v>
      </c>
      <c r="O89" s="94">
        <f t="shared" si="23"/>
        <v>2155.44</v>
      </c>
      <c r="P89" s="94">
        <f t="shared" si="23"/>
        <v>2168.64</v>
      </c>
      <c r="Q89" s="94">
        <f t="shared" si="23"/>
        <v>2127.7399999999998</v>
      </c>
      <c r="R89" s="94">
        <f t="shared" si="23"/>
        <v>2110.6400000000003</v>
      </c>
      <c r="S89" s="94">
        <f t="shared" si="23"/>
        <v>2121.04</v>
      </c>
      <c r="T89" s="94">
        <f t="shared" si="23"/>
        <v>2130.04</v>
      </c>
      <c r="U89" s="94">
        <f t="shared" si="23"/>
        <v>2133.44</v>
      </c>
      <c r="V89" s="94">
        <f t="shared" si="23"/>
        <v>2136.6400000000003</v>
      </c>
      <c r="W89" s="94">
        <f t="shared" si="23"/>
        <v>2119.6400000000003</v>
      </c>
      <c r="X89" s="94">
        <f t="shared" si="23"/>
        <v>2145.1400000000003</v>
      </c>
      <c r="Y89" s="94">
        <f t="shared" si="23"/>
        <v>2190.84</v>
      </c>
      <c r="Z89" s="94">
        <f t="shared" si="23"/>
        <v>2228.04</v>
      </c>
      <c r="AA89" s="94">
        <f t="shared" si="23"/>
        <v>2185.5400000000004</v>
      </c>
      <c r="AB89" s="94">
        <f t="shared" ref="AB89" si="24">AB50+AB54+AB72+AB68+AB84+AB88</f>
        <v>2144.7400000000002</v>
      </c>
      <c r="AC89" s="94">
        <f t="shared" si="23"/>
        <v>2138.1400000000003</v>
      </c>
      <c r="AD89" s="94">
        <f t="shared" si="23"/>
        <v>2094.1400000000003</v>
      </c>
      <c r="AE89" s="94">
        <f t="shared" si="23"/>
        <v>2046.54</v>
      </c>
      <c r="AF89" s="94">
        <f t="shared" si="23"/>
        <v>2046.54</v>
      </c>
      <c r="AG89" s="61">
        <f t="shared" si="23"/>
        <v>2111.5500000000002</v>
      </c>
      <c r="AH89" s="47">
        <f t="shared" si="19"/>
        <v>2228.04</v>
      </c>
      <c r="AI89" s="48">
        <f t="shared" si="20"/>
        <v>2004.2400000000002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9"/>
        <v>0</v>
      </c>
      <c r="AI90" s="48">
        <f t="shared" si="20"/>
        <v>0</v>
      </c>
    </row>
    <row r="91" spans="1:40" ht="15.75" thickBot="1" x14ac:dyDescent="0.3">
      <c r="A91" s="73" t="s">
        <v>102</v>
      </c>
      <c r="B91" s="94">
        <f t="shared" ref="B91:AF91" si="25">B89+B90</f>
        <v>2008.2400000000002</v>
      </c>
      <c r="C91" s="94">
        <f t="shared" si="25"/>
        <v>2004.2400000000002</v>
      </c>
      <c r="D91" s="94">
        <f t="shared" si="25"/>
        <v>2004.5400000000002</v>
      </c>
      <c r="E91" s="94">
        <f t="shared" si="25"/>
        <v>2016.2400000000002</v>
      </c>
      <c r="F91" s="94">
        <f t="shared" si="25"/>
        <v>2021.2400000000002</v>
      </c>
      <c r="G91" s="94">
        <f t="shared" si="25"/>
        <v>2015.2400000000002</v>
      </c>
      <c r="H91" s="94">
        <f t="shared" si="25"/>
        <v>2042.54</v>
      </c>
      <c r="I91" s="94">
        <f t="shared" si="25"/>
        <v>2062.54</v>
      </c>
      <c r="J91" s="94">
        <f t="shared" si="25"/>
        <v>2083.14</v>
      </c>
      <c r="K91" s="94">
        <f t="shared" si="25"/>
        <v>2098.14</v>
      </c>
      <c r="L91" s="94">
        <f t="shared" si="25"/>
        <v>2128.84</v>
      </c>
      <c r="M91" s="94">
        <f t="shared" si="25"/>
        <v>2133.84</v>
      </c>
      <c r="N91" s="94">
        <f t="shared" si="25"/>
        <v>2136.34</v>
      </c>
      <c r="O91" s="94">
        <f t="shared" si="25"/>
        <v>2155.44</v>
      </c>
      <c r="P91" s="94">
        <f t="shared" si="25"/>
        <v>2168.64</v>
      </c>
      <c r="Q91" s="94">
        <f t="shared" si="25"/>
        <v>2127.7399999999998</v>
      </c>
      <c r="R91" s="94">
        <f t="shared" si="25"/>
        <v>2110.6400000000003</v>
      </c>
      <c r="S91" s="94">
        <f t="shared" si="25"/>
        <v>2121.04</v>
      </c>
      <c r="T91" s="94">
        <f t="shared" si="25"/>
        <v>2130.04</v>
      </c>
      <c r="U91" s="94">
        <f t="shared" si="25"/>
        <v>2133.44</v>
      </c>
      <c r="V91" s="94">
        <f t="shared" si="25"/>
        <v>2136.6400000000003</v>
      </c>
      <c r="W91" s="94">
        <f t="shared" si="25"/>
        <v>2119.6400000000003</v>
      </c>
      <c r="X91" s="94">
        <f t="shared" si="25"/>
        <v>2145.1400000000003</v>
      </c>
      <c r="Y91" s="94">
        <f t="shared" si="25"/>
        <v>2190.84</v>
      </c>
      <c r="Z91" s="94">
        <f t="shared" si="25"/>
        <v>2228.04</v>
      </c>
      <c r="AA91" s="94">
        <f t="shared" si="25"/>
        <v>2185.5400000000004</v>
      </c>
      <c r="AB91" s="94">
        <f t="shared" ref="AB91" si="26">AB89+AB90</f>
        <v>2144.7400000000002</v>
      </c>
      <c r="AC91" s="94">
        <f t="shared" si="25"/>
        <v>2138.1400000000003</v>
      </c>
      <c r="AD91" s="94">
        <f t="shared" si="25"/>
        <v>2094.1400000000003</v>
      </c>
      <c r="AE91" s="94">
        <f t="shared" si="25"/>
        <v>2046.54</v>
      </c>
      <c r="AF91" s="94">
        <f t="shared" si="25"/>
        <v>2046.54</v>
      </c>
      <c r="AG91" s="87">
        <f>AG88+AG84+AG72+AG68+AG50+AG90</f>
        <v>1573.45</v>
      </c>
      <c r="AH91" s="47">
        <f t="shared" si="19"/>
        <v>2228.04</v>
      </c>
      <c r="AI91" s="48">
        <f t="shared" si="20"/>
        <v>2004.2400000000002</v>
      </c>
    </row>
    <row r="92" spans="1:40" ht="15.75" thickBot="1" x14ac:dyDescent="0.3">
      <c r="A92" s="73" t="s">
        <v>103</v>
      </c>
      <c r="B92" s="94">
        <f>B91-(-B99)</f>
        <v>1663.2400000000002</v>
      </c>
      <c r="C92" s="94">
        <f t="shared" ref="C92:AF92" si="27">C91-(-C99)</f>
        <v>1664.2400000000002</v>
      </c>
      <c r="D92" s="94">
        <f t="shared" si="27"/>
        <v>1644.5400000000002</v>
      </c>
      <c r="E92" s="94">
        <f t="shared" si="27"/>
        <v>1661.2400000000002</v>
      </c>
      <c r="F92" s="94">
        <f t="shared" si="27"/>
        <v>1613.2400000000002</v>
      </c>
      <c r="G92" s="94">
        <f t="shared" si="27"/>
        <v>1606.2400000000002</v>
      </c>
      <c r="H92" s="94">
        <f t="shared" si="27"/>
        <v>1591.54</v>
      </c>
      <c r="I92" s="94">
        <f t="shared" si="27"/>
        <v>1590.54</v>
      </c>
      <c r="J92" s="94">
        <f t="shared" si="27"/>
        <v>1636.1399999999999</v>
      </c>
      <c r="K92" s="94">
        <f t="shared" si="27"/>
        <v>1680.1399999999999</v>
      </c>
      <c r="L92" s="94">
        <f t="shared" si="27"/>
        <v>1696.8400000000001</v>
      </c>
      <c r="M92" s="94">
        <f t="shared" si="27"/>
        <v>1683.8400000000001</v>
      </c>
      <c r="N92" s="94">
        <f t="shared" si="27"/>
        <v>1703.2400000000002</v>
      </c>
      <c r="O92" s="94">
        <f t="shared" si="27"/>
        <v>1765.44</v>
      </c>
      <c r="P92" s="94">
        <f t="shared" si="27"/>
        <v>1779.6399999999999</v>
      </c>
      <c r="Q92" s="94">
        <f t="shared" si="27"/>
        <v>1787.7399999999998</v>
      </c>
      <c r="R92" s="94">
        <f t="shared" si="27"/>
        <v>2110.6400000000003</v>
      </c>
      <c r="S92" s="94">
        <f t="shared" si="27"/>
        <v>1740.04</v>
      </c>
      <c r="T92" s="94">
        <f t="shared" si="27"/>
        <v>1743.04</v>
      </c>
      <c r="U92" s="94">
        <f t="shared" si="27"/>
        <v>1706.44</v>
      </c>
      <c r="V92" s="94">
        <f t="shared" si="27"/>
        <v>1680.6400000000003</v>
      </c>
      <c r="W92" s="94">
        <f t="shared" si="27"/>
        <v>1690.6400000000003</v>
      </c>
      <c r="X92" s="94">
        <f t="shared" si="27"/>
        <v>1703.1400000000003</v>
      </c>
      <c r="Y92" s="94">
        <f t="shared" si="27"/>
        <v>1771.8400000000001</v>
      </c>
      <c r="Z92" s="94">
        <f t="shared" si="27"/>
        <v>1840.04</v>
      </c>
      <c r="AA92" s="94">
        <f t="shared" si="27"/>
        <v>1793.5400000000004</v>
      </c>
      <c r="AB92" s="94">
        <f t="shared" ref="AB92" si="28">AB91-(-AB99)</f>
        <v>1736.2400000000002</v>
      </c>
      <c r="AC92" s="94">
        <f t="shared" si="27"/>
        <v>1758.1400000000003</v>
      </c>
      <c r="AD92" s="94">
        <f t="shared" si="27"/>
        <v>1724.1400000000003</v>
      </c>
      <c r="AE92" s="94">
        <f t="shared" si="27"/>
        <v>1686.54</v>
      </c>
      <c r="AF92" s="94">
        <f t="shared" si="27"/>
        <v>1671.54</v>
      </c>
      <c r="AG92" s="87"/>
      <c r="AH92" s="47">
        <f t="shared" si="19"/>
        <v>2110.6400000000003</v>
      </c>
      <c r="AI92" s="48">
        <f t="shared" si="20"/>
        <v>1590.54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9"/>
        <v>0</v>
      </c>
      <c r="AI93" s="48">
        <f t="shared" si="2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9"/>
        <v>0</v>
      </c>
      <c r="AI94" s="48">
        <f t="shared" si="2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9"/>
        <v>0</v>
      </c>
      <c r="AI95" s="48">
        <f t="shared" si="2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9"/>
        <v>0</v>
      </c>
      <c r="AI96" s="48">
        <f t="shared" si="2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9"/>
        <v>0</v>
      </c>
      <c r="AI97" s="48">
        <f t="shared" si="2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9"/>
        <v>0</v>
      </c>
      <c r="AI98" s="48">
        <f t="shared" si="20"/>
        <v>0</v>
      </c>
    </row>
    <row r="99" spans="1:37" ht="15.75" thickBot="1" x14ac:dyDescent="0.3">
      <c r="A99" s="98" t="s">
        <v>107</v>
      </c>
      <c r="B99" s="60">
        <f>B75</f>
        <v>-345</v>
      </c>
      <c r="C99" s="60">
        <f t="shared" ref="C99:AF99" si="29">C75</f>
        <v>-340</v>
      </c>
      <c r="D99" s="60">
        <f t="shared" si="29"/>
        <v>-360</v>
      </c>
      <c r="E99" s="60">
        <f t="shared" si="29"/>
        <v>-355</v>
      </c>
      <c r="F99" s="60">
        <f t="shared" si="29"/>
        <v>-408</v>
      </c>
      <c r="G99" s="60">
        <f t="shared" si="29"/>
        <v>-409</v>
      </c>
      <c r="H99" s="60">
        <f t="shared" si="29"/>
        <v>-451</v>
      </c>
      <c r="I99" s="60">
        <f t="shared" si="29"/>
        <v>-472</v>
      </c>
      <c r="J99" s="60">
        <f t="shared" si="29"/>
        <v>-447</v>
      </c>
      <c r="K99" s="60">
        <f t="shared" si="29"/>
        <v>-418</v>
      </c>
      <c r="L99" s="60">
        <f t="shared" si="29"/>
        <v>-432</v>
      </c>
      <c r="M99" s="60">
        <f t="shared" si="29"/>
        <v>-450</v>
      </c>
      <c r="N99" s="60">
        <f t="shared" si="29"/>
        <v>-433.1</v>
      </c>
      <c r="O99" s="60">
        <f t="shared" si="29"/>
        <v>-390</v>
      </c>
      <c r="P99" s="60">
        <f t="shared" si="29"/>
        <v>-389</v>
      </c>
      <c r="Q99" s="60">
        <f t="shared" si="29"/>
        <v>-340</v>
      </c>
      <c r="R99" s="60">
        <f t="shared" si="29"/>
        <v>0</v>
      </c>
      <c r="S99" s="60">
        <f t="shared" si="29"/>
        <v>-381</v>
      </c>
      <c r="T99" s="60">
        <f t="shared" si="29"/>
        <v>-387</v>
      </c>
      <c r="U99" s="60">
        <f t="shared" si="29"/>
        <v>-427</v>
      </c>
      <c r="V99" s="60">
        <f t="shared" si="29"/>
        <v>-456</v>
      </c>
      <c r="W99" s="60">
        <f t="shared" si="29"/>
        <v>-429</v>
      </c>
      <c r="X99" s="60">
        <f t="shared" si="29"/>
        <v>-442</v>
      </c>
      <c r="Y99" s="60">
        <f t="shared" si="29"/>
        <v>-419</v>
      </c>
      <c r="Z99" s="60">
        <f t="shared" si="29"/>
        <v>-388</v>
      </c>
      <c r="AA99" s="60">
        <f t="shared" si="29"/>
        <v>-392</v>
      </c>
      <c r="AB99" s="60">
        <f t="shared" ref="AB99" si="30">AB75</f>
        <v>-408.5</v>
      </c>
      <c r="AC99" s="60">
        <f t="shared" si="29"/>
        <v>-380</v>
      </c>
      <c r="AD99" s="60">
        <f t="shared" si="29"/>
        <v>-370</v>
      </c>
      <c r="AE99" s="60">
        <f t="shared" si="29"/>
        <v>-360</v>
      </c>
      <c r="AF99" s="60">
        <f t="shared" si="29"/>
        <v>-375</v>
      </c>
      <c r="AG99" s="87"/>
      <c r="AH99" s="47">
        <f t="shared" si="19"/>
        <v>0</v>
      </c>
      <c r="AI99" s="48">
        <f t="shared" si="20"/>
        <v>-472</v>
      </c>
      <c r="AK99" s="50"/>
    </row>
    <row r="100" spans="1:37" ht="15.75" thickBot="1" x14ac:dyDescent="0.3">
      <c r="A100" s="73" t="s">
        <v>108</v>
      </c>
      <c r="B100" s="60">
        <f t="shared" ref="B100:AF100" si="31">B84-B99</f>
        <v>345</v>
      </c>
      <c r="C100" s="60">
        <f t="shared" si="31"/>
        <v>340</v>
      </c>
      <c r="D100" s="60">
        <f t="shared" si="31"/>
        <v>360</v>
      </c>
      <c r="E100" s="60">
        <f t="shared" si="31"/>
        <v>355</v>
      </c>
      <c r="F100" s="60">
        <f t="shared" si="31"/>
        <v>408</v>
      </c>
      <c r="G100" s="60">
        <f t="shared" si="31"/>
        <v>409</v>
      </c>
      <c r="H100" s="60">
        <f t="shared" si="31"/>
        <v>451</v>
      </c>
      <c r="I100" s="60">
        <f t="shared" si="31"/>
        <v>472</v>
      </c>
      <c r="J100" s="60">
        <f t="shared" si="31"/>
        <v>447</v>
      </c>
      <c r="K100" s="60">
        <f t="shared" si="31"/>
        <v>418</v>
      </c>
      <c r="L100" s="60">
        <f t="shared" si="31"/>
        <v>432</v>
      </c>
      <c r="M100" s="60">
        <f t="shared" si="31"/>
        <v>450</v>
      </c>
      <c r="N100" s="60">
        <f t="shared" si="31"/>
        <v>433.1</v>
      </c>
      <c r="O100" s="60">
        <f t="shared" si="31"/>
        <v>390</v>
      </c>
      <c r="P100" s="60">
        <f t="shared" si="31"/>
        <v>389</v>
      </c>
      <c r="Q100" s="60">
        <f t="shared" si="31"/>
        <v>340</v>
      </c>
      <c r="R100" s="60">
        <f t="shared" si="31"/>
        <v>0</v>
      </c>
      <c r="S100" s="60">
        <f t="shared" si="31"/>
        <v>381</v>
      </c>
      <c r="T100" s="60">
        <f t="shared" si="31"/>
        <v>387</v>
      </c>
      <c r="U100" s="60">
        <f t="shared" si="31"/>
        <v>427</v>
      </c>
      <c r="V100" s="60">
        <f t="shared" si="31"/>
        <v>456</v>
      </c>
      <c r="W100" s="60">
        <f t="shared" si="31"/>
        <v>429</v>
      </c>
      <c r="X100" s="60">
        <f t="shared" si="31"/>
        <v>442</v>
      </c>
      <c r="Y100" s="60">
        <f t="shared" si="31"/>
        <v>419</v>
      </c>
      <c r="Z100" s="60">
        <f t="shared" si="31"/>
        <v>425.2</v>
      </c>
      <c r="AA100" s="60">
        <f t="shared" si="31"/>
        <v>392</v>
      </c>
      <c r="AB100" s="60">
        <f t="shared" ref="AB100" si="32">AB84-AB99</f>
        <v>408.5</v>
      </c>
      <c r="AC100" s="60">
        <f t="shared" si="31"/>
        <v>380</v>
      </c>
      <c r="AD100" s="60">
        <f t="shared" si="31"/>
        <v>370</v>
      </c>
      <c r="AE100" s="60">
        <f t="shared" si="31"/>
        <v>360</v>
      </c>
      <c r="AF100" s="60">
        <f t="shared" si="31"/>
        <v>375</v>
      </c>
      <c r="AG100" s="87"/>
      <c r="AH100" s="47">
        <f t="shared" si="19"/>
        <v>472</v>
      </c>
      <c r="AI100" s="48">
        <f t="shared" si="20"/>
        <v>0</v>
      </c>
    </row>
    <row r="101" spans="1:37" x14ac:dyDescent="0.25">
      <c r="A101" s="99" t="s">
        <v>109</v>
      </c>
      <c r="B101" s="100">
        <v>49.926000000000002</v>
      </c>
      <c r="C101" s="100">
        <v>50.054000000000002</v>
      </c>
      <c r="D101" s="100">
        <v>49.970999999999997</v>
      </c>
      <c r="E101" s="100">
        <v>50.0015</v>
      </c>
      <c r="F101" s="100">
        <v>49.965000000000003</v>
      </c>
      <c r="G101" s="100">
        <v>50.003999999999998</v>
      </c>
      <c r="H101" s="100">
        <v>49.948</v>
      </c>
      <c r="I101" s="100">
        <v>49.973999999999997</v>
      </c>
      <c r="J101" s="100">
        <v>49.875</v>
      </c>
      <c r="K101" s="100">
        <v>50.06</v>
      </c>
      <c r="L101" s="100">
        <v>50.118000000000002</v>
      </c>
      <c r="M101" s="100">
        <v>50.143000000000001</v>
      </c>
      <c r="N101" s="100">
        <v>50.015000000000001</v>
      </c>
      <c r="O101" s="100">
        <v>50.018999999999998</v>
      </c>
      <c r="P101" s="100">
        <v>50.043999999999997</v>
      </c>
      <c r="Q101" s="100">
        <v>50.042999999999999</v>
      </c>
      <c r="R101" s="100"/>
      <c r="S101" s="100">
        <v>49.892000000000003</v>
      </c>
      <c r="T101" s="100">
        <v>49.997999999999998</v>
      </c>
      <c r="U101" s="100">
        <v>50.036000000000001</v>
      </c>
      <c r="V101" s="100">
        <v>50.036000000000001</v>
      </c>
      <c r="W101" s="100">
        <v>50.036000000000001</v>
      </c>
      <c r="X101" s="100">
        <v>49.948</v>
      </c>
      <c r="Y101" s="100">
        <v>50.014000000000003</v>
      </c>
      <c r="Z101" s="100">
        <v>50.012999999999998</v>
      </c>
      <c r="AA101" s="100">
        <v>50.093000000000004</v>
      </c>
      <c r="AB101" s="100">
        <v>50.034999999999997</v>
      </c>
      <c r="AC101" s="100">
        <v>50.05</v>
      </c>
      <c r="AD101" s="100">
        <v>50.5</v>
      </c>
      <c r="AE101" s="100">
        <v>50.045999999999999</v>
      </c>
      <c r="AF101" s="100">
        <v>50.03</v>
      </c>
      <c r="AG101" s="101"/>
      <c r="AH101" s="47">
        <f t="shared" si="19"/>
        <v>50.5</v>
      </c>
      <c r="AI101" s="48">
        <f t="shared" si="20"/>
        <v>49.875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9"/>
        <v>0</v>
      </c>
      <c r="AI102" s="48">
        <f t="shared" si="20"/>
        <v>0</v>
      </c>
    </row>
    <row r="103" spans="1:37" x14ac:dyDescent="0.25">
      <c r="A103" s="102" t="s">
        <v>111</v>
      </c>
      <c r="B103" s="64">
        <v>128.30000000000001</v>
      </c>
      <c r="C103" s="64">
        <v>128.69999999999999</v>
      </c>
      <c r="D103" s="64">
        <v>129.19999999999999</v>
      </c>
      <c r="E103" s="64">
        <v>129.6</v>
      </c>
      <c r="F103" s="64">
        <v>128.9</v>
      </c>
      <c r="G103" s="64">
        <v>128.9</v>
      </c>
      <c r="H103" s="64">
        <v>128.1</v>
      </c>
      <c r="I103" s="64">
        <v>128.19999999999999</v>
      </c>
      <c r="J103" s="64">
        <v>126.8</v>
      </c>
      <c r="K103" s="64">
        <v>126.6</v>
      </c>
      <c r="L103" s="64">
        <v>124.7</v>
      </c>
      <c r="M103" s="64">
        <v>125.2</v>
      </c>
      <c r="N103" s="64">
        <v>124.8</v>
      </c>
      <c r="O103" s="64">
        <v>124.6</v>
      </c>
      <c r="P103" s="64">
        <v>125.2</v>
      </c>
      <c r="Q103" s="64">
        <v>124.4</v>
      </c>
      <c r="R103" s="64"/>
      <c r="S103" s="64">
        <v>123.7</v>
      </c>
      <c r="T103" s="64">
        <v>125.1</v>
      </c>
      <c r="U103" s="64">
        <v>124.5</v>
      </c>
      <c r="V103" s="64">
        <v>124.5</v>
      </c>
      <c r="W103" s="64">
        <v>124.5</v>
      </c>
      <c r="X103" s="64">
        <v>126.6</v>
      </c>
      <c r="Y103" s="64">
        <v>124</v>
      </c>
      <c r="Z103" s="64">
        <v>125.3</v>
      </c>
      <c r="AA103" s="64">
        <v>126.6</v>
      </c>
      <c r="AB103" s="64">
        <v>127</v>
      </c>
      <c r="AC103" s="64">
        <v>127</v>
      </c>
      <c r="AD103" s="64">
        <v>127</v>
      </c>
      <c r="AE103" s="64">
        <v>127</v>
      </c>
      <c r="AF103" s="64">
        <v>127</v>
      </c>
      <c r="AG103" s="103"/>
      <c r="AH103" s="47">
        <f t="shared" si="19"/>
        <v>129.6</v>
      </c>
      <c r="AI103" s="48">
        <f t="shared" si="20"/>
        <v>123.7</v>
      </c>
    </row>
    <row r="104" spans="1:37" x14ac:dyDescent="0.25">
      <c r="A104" s="102" t="s">
        <v>112</v>
      </c>
      <c r="B104" s="64">
        <v>128.4</v>
      </c>
      <c r="C104" s="64">
        <v>130.4</v>
      </c>
      <c r="D104" s="64">
        <v>129.69999999999999</v>
      </c>
      <c r="E104" s="64">
        <v>128.19999999999999</v>
      </c>
      <c r="F104" s="64">
        <v>130.5</v>
      </c>
      <c r="G104" s="64">
        <v>130.5</v>
      </c>
      <c r="H104" s="64">
        <v>130.4</v>
      </c>
      <c r="I104" s="64">
        <v>130</v>
      </c>
      <c r="J104" s="64">
        <v>128.19999999999999</v>
      </c>
      <c r="K104" s="64">
        <v>125.4</v>
      </c>
      <c r="L104" s="64">
        <v>125.5</v>
      </c>
      <c r="M104" s="64">
        <v>128.5</v>
      </c>
      <c r="N104" s="64">
        <v>125.3</v>
      </c>
      <c r="O104" s="64">
        <v>125.3</v>
      </c>
      <c r="P104" s="64">
        <v>125.6</v>
      </c>
      <c r="Q104" s="64">
        <v>127.7</v>
      </c>
      <c r="R104" s="64"/>
      <c r="S104" s="64">
        <v>127.8</v>
      </c>
      <c r="T104" s="64">
        <v>126.8</v>
      </c>
      <c r="U104" s="64">
        <v>128</v>
      </c>
      <c r="V104" s="64">
        <v>128</v>
      </c>
      <c r="W104" s="64">
        <v>128</v>
      </c>
      <c r="X104" s="64">
        <v>128.5</v>
      </c>
      <c r="Y104" s="64">
        <v>125.7</v>
      </c>
      <c r="Z104" s="64">
        <v>127.7</v>
      </c>
      <c r="AA104" s="64">
        <v>127</v>
      </c>
      <c r="AB104" s="64">
        <v>127.7</v>
      </c>
      <c r="AC104" s="64">
        <v>127.7</v>
      </c>
      <c r="AD104" s="64">
        <v>127.7</v>
      </c>
      <c r="AE104" s="64">
        <v>127.7</v>
      </c>
      <c r="AF104" s="64" t="s">
        <v>283</v>
      </c>
      <c r="AG104" s="103"/>
      <c r="AH104" s="47">
        <f t="shared" si="19"/>
        <v>130.5</v>
      </c>
      <c r="AI104" s="48">
        <f t="shared" si="20"/>
        <v>125.3</v>
      </c>
    </row>
    <row r="105" spans="1:37" x14ac:dyDescent="0.25">
      <c r="A105" s="104" t="s">
        <v>113</v>
      </c>
      <c r="B105" s="64">
        <v>130.4</v>
      </c>
      <c r="C105" s="64">
        <v>131.19999999999999</v>
      </c>
      <c r="D105" s="64">
        <v>131.5</v>
      </c>
      <c r="E105" s="64">
        <v>130.6</v>
      </c>
      <c r="F105" s="64">
        <v>132.80000000000001</v>
      </c>
      <c r="G105" s="64">
        <v>133.1</v>
      </c>
      <c r="H105" s="64">
        <v>133.1</v>
      </c>
      <c r="I105" s="64">
        <v>132.19999999999999</v>
      </c>
      <c r="J105" s="64">
        <v>130.80000000000001</v>
      </c>
      <c r="K105" s="64">
        <v>128.4</v>
      </c>
      <c r="L105" s="64">
        <v>126.9</v>
      </c>
      <c r="M105" s="64">
        <v>131</v>
      </c>
      <c r="N105" s="64">
        <v>128.5</v>
      </c>
      <c r="O105" s="64">
        <v>128</v>
      </c>
      <c r="P105" s="64">
        <v>128.19999999999999</v>
      </c>
      <c r="Q105" s="64">
        <v>129.30000000000001</v>
      </c>
      <c r="R105" s="64"/>
      <c r="S105" s="64">
        <v>129.4</v>
      </c>
      <c r="T105" s="64">
        <v>128.69999999999999</v>
      </c>
      <c r="U105" s="64">
        <v>130.19999999999999</v>
      </c>
      <c r="V105" s="64">
        <v>130.19999999999999</v>
      </c>
      <c r="W105" s="64">
        <v>130.19999999999999</v>
      </c>
      <c r="X105" s="64">
        <v>131.19999999999999</v>
      </c>
      <c r="Y105" s="64">
        <v>128.1</v>
      </c>
      <c r="Z105" s="64">
        <v>130</v>
      </c>
      <c r="AA105" s="64">
        <v>128.80000000000001</v>
      </c>
      <c r="AB105" s="64">
        <v>130.9</v>
      </c>
      <c r="AC105" s="64">
        <v>130.9</v>
      </c>
      <c r="AD105" s="64">
        <v>130.9</v>
      </c>
      <c r="AE105" s="64">
        <v>130.9</v>
      </c>
      <c r="AF105" s="64">
        <v>132</v>
      </c>
      <c r="AG105" s="103"/>
      <c r="AH105" s="47">
        <f t="shared" si="19"/>
        <v>133.1</v>
      </c>
      <c r="AI105" s="48">
        <f t="shared" si="20"/>
        <v>126.9</v>
      </c>
    </row>
    <row r="106" spans="1:37" x14ac:dyDescent="0.25">
      <c r="A106" s="104" t="s">
        <v>114</v>
      </c>
      <c r="B106" s="105">
        <v>131</v>
      </c>
      <c r="C106" s="105">
        <v>131.19999999999999</v>
      </c>
      <c r="D106" s="105">
        <v>133.5</v>
      </c>
      <c r="E106" s="105">
        <v>133.9</v>
      </c>
      <c r="F106" s="105">
        <v>132.69999999999999</v>
      </c>
      <c r="G106" s="105">
        <v>133.1</v>
      </c>
      <c r="H106" s="105">
        <v>133.80000000000001</v>
      </c>
      <c r="I106" s="105">
        <v>134.5</v>
      </c>
      <c r="J106" s="105">
        <v>132.30000000000001</v>
      </c>
      <c r="K106" s="105">
        <v>131.9</v>
      </c>
      <c r="L106" s="105">
        <v>131.4</v>
      </c>
      <c r="M106" s="105">
        <v>130</v>
      </c>
      <c r="N106" s="105">
        <v>132.19999999999999</v>
      </c>
      <c r="O106" s="105">
        <v>130.4</v>
      </c>
      <c r="P106" s="105">
        <v>131.19999999999999</v>
      </c>
      <c r="Q106" s="105">
        <v>132.6</v>
      </c>
      <c r="R106" s="105"/>
      <c r="S106" s="105">
        <v>130.6</v>
      </c>
      <c r="T106" s="105">
        <v>132.9</v>
      </c>
      <c r="U106" s="105">
        <v>131.69999999999999</v>
      </c>
      <c r="V106" s="105">
        <v>131.69999999999999</v>
      </c>
      <c r="W106" s="105">
        <v>131.69999999999999</v>
      </c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19"/>
        <v>134.5</v>
      </c>
      <c r="AI106" s="48">
        <f t="shared" si="20"/>
        <v>130</v>
      </c>
    </row>
    <row r="107" spans="1:37" x14ac:dyDescent="0.25">
      <c r="A107" s="102" t="s">
        <v>115</v>
      </c>
      <c r="B107" s="64">
        <v>130.4</v>
      </c>
      <c r="C107" s="64">
        <v>130.5</v>
      </c>
      <c r="D107" s="64">
        <v>129.5</v>
      </c>
      <c r="E107" s="64">
        <v>130.1</v>
      </c>
      <c r="F107" s="64">
        <v>130.9</v>
      </c>
      <c r="G107" s="64">
        <v>128.30000000000001</v>
      </c>
      <c r="H107" s="64">
        <v>12.2</v>
      </c>
      <c r="I107" s="64">
        <v>133.80000000000001</v>
      </c>
      <c r="J107" s="64">
        <v>131.9</v>
      </c>
      <c r="K107" s="64">
        <v>128.4</v>
      </c>
      <c r="L107" s="64">
        <v>129.69999999999999</v>
      </c>
      <c r="M107" s="64">
        <v>126.4</v>
      </c>
      <c r="N107" s="64">
        <v>132</v>
      </c>
      <c r="O107" s="64">
        <v>126.1</v>
      </c>
      <c r="P107" s="64">
        <v>130.69999999999999</v>
      </c>
      <c r="Q107" s="64">
        <v>134</v>
      </c>
      <c r="R107" s="64"/>
      <c r="S107" s="64">
        <v>131.30000000000001</v>
      </c>
      <c r="T107" s="64">
        <v>133.5</v>
      </c>
      <c r="U107" s="64">
        <v>131.1</v>
      </c>
      <c r="V107" s="64">
        <v>131.1</v>
      </c>
      <c r="W107" s="64">
        <v>131.1</v>
      </c>
      <c r="X107" s="64">
        <v>133.4</v>
      </c>
      <c r="Y107" s="64">
        <v>128.1</v>
      </c>
      <c r="Z107" s="64">
        <v>127.5</v>
      </c>
      <c r="AA107" s="64">
        <v>128.69999999999999</v>
      </c>
      <c r="AB107" s="64">
        <v>128</v>
      </c>
      <c r="AC107" s="64">
        <v>128</v>
      </c>
      <c r="AD107" s="64">
        <v>128</v>
      </c>
      <c r="AE107" s="64">
        <v>128</v>
      </c>
      <c r="AF107" s="64">
        <v>132</v>
      </c>
      <c r="AG107" s="103"/>
      <c r="AH107" s="47">
        <f t="shared" si="19"/>
        <v>134</v>
      </c>
      <c r="AI107" s="48">
        <f t="shared" si="20"/>
        <v>12.2</v>
      </c>
    </row>
    <row r="108" spans="1:37" ht="15.75" thickBot="1" x14ac:dyDescent="0.3">
      <c r="A108" s="102" t="s">
        <v>116</v>
      </c>
      <c r="B108" s="91">
        <v>64.599999999999994</v>
      </c>
      <c r="C108" s="91">
        <v>64.7</v>
      </c>
      <c r="D108" s="91">
        <v>64.8</v>
      </c>
      <c r="E108" s="91">
        <v>65.2</v>
      </c>
      <c r="F108" s="91">
        <v>64.8</v>
      </c>
      <c r="G108" s="91">
        <v>64.7</v>
      </c>
      <c r="H108" s="91">
        <v>64.3</v>
      </c>
      <c r="I108" s="91">
        <v>64.3</v>
      </c>
      <c r="J108" s="91">
        <v>63.3</v>
      </c>
      <c r="K108" s="91">
        <v>63.3</v>
      </c>
      <c r="L108" s="91">
        <v>62.6</v>
      </c>
      <c r="M108" s="91">
        <v>62.6</v>
      </c>
      <c r="N108" s="91">
        <v>62.7</v>
      </c>
      <c r="O108" s="91">
        <v>62.4</v>
      </c>
      <c r="P108" s="91">
        <v>62.5</v>
      </c>
      <c r="Q108" s="91">
        <v>62</v>
      </c>
      <c r="R108" s="91"/>
      <c r="S108" s="91">
        <v>61.7</v>
      </c>
      <c r="T108" s="91">
        <v>62.5</v>
      </c>
      <c r="U108" s="91">
        <v>62.1</v>
      </c>
      <c r="V108" s="91">
        <v>62.1</v>
      </c>
      <c r="W108" s="91">
        <v>62.1</v>
      </c>
      <c r="X108" s="91">
        <v>63.3</v>
      </c>
      <c r="Y108" s="91">
        <v>62.4</v>
      </c>
      <c r="Z108" s="91">
        <v>63</v>
      </c>
      <c r="AA108" s="91">
        <v>63.7</v>
      </c>
      <c r="AB108" s="91">
        <v>64</v>
      </c>
      <c r="AC108" s="91">
        <v>64</v>
      </c>
      <c r="AD108" s="91">
        <v>64</v>
      </c>
      <c r="AE108" s="91">
        <v>64</v>
      </c>
      <c r="AF108" s="91">
        <v>64</v>
      </c>
      <c r="AG108" s="107"/>
      <c r="AH108" s="47">
        <f t="shared" si="19"/>
        <v>65.2</v>
      </c>
      <c r="AI108" s="48">
        <f t="shared" si="20"/>
        <v>61.7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9"/>
        <v>0</v>
      </c>
      <c r="AI109" s="48">
        <f t="shared" si="20"/>
        <v>0</v>
      </c>
    </row>
    <row r="110" spans="1:37" ht="15.75" thickBot="1" x14ac:dyDescent="0.3">
      <c r="A110" s="109" t="s">
        <v>118</v>
      </c>
      <c r="B110" s="110">
        <f t="shared" ref="B110:O110" si="33">SUM(B20,B26,B29:B30,B58,B60:B61,B63,B65,B111:B115,B138,B144,B150,B159,B161,B173,B180,B183:B184,B191,B193,B195,B199:B201,B203:B205,B210,B216:B217,B219:B221,B229,B234)</f>
        <v>35</v>
      </c>
      <c r="C110" s="110">
        <f t="shared" si="33"/>
        <v>28.940000000000008</v>
      </c>
      <c r="D110" s="110">
        <f t="shared" si="33"/>
        <v>24.44</v>
      </c>
      <c r="E110" s="110">
        <f t="shared" si="33"/>
        <v>53.94</v>
      </c>
      <c r="F110" s="110">
        <f t="shared" si="33"/>
        <v>36.239999999999988</v>
      </c>
      <c r="G110" s="110">
        <f t="shared" si="33"/>
        <v>50.240000000000009</v>
      </c>
      <c r="H110" s="110">
        <f t="shared" si="33"/>
        <v>81.239999999999966</v>
      </c>
      <c r="I110" s="110">
        <f t="shared" si="33"/>
        <v>103.53999999999999</v>
      </c>
      <c r="J110" s="110">
        <f t="shared" si="33"/>
        <v>129.73999999999998</v>
      </c>
      <c r="K110" s="110">
        <f t="shared" si="33"/>
        <v>180.64</v>
      </c>
      <c r="L110" s="110">
        <f t="shared" si="33"/>
        <v>213.64</v>
      </c>
      <c r="M110" s="110">
        <f t="shared" si="33"/>
        <v>202.03999999999996</v>
      </c>
      <c r="N110" s="110">
        <f t="shared" si="33"/>
        <v>194.23999999999998</v>
      </c>
      <c r="O110" s="110">
        <f t="shared" si="33"/>
        <v>225.73999999999998</v>
      </c>
      <c r="P110" s="110">
        <v>42</v>
      </c>
      <c r="Q110" s="110">
        <f t="shared" ref="Q110:AF110" si="34">SUM(Q20,Q26,Q29:Q30,Q58,Q60:Q61,Q63,Q65,Q111:Q115,Q138,Q144,Q150,Q159,Q161,Q173,Q180,Q183:Q184,Q191,Q193,Q195,Q199:Q201,Q203:Q205,Q210,Q216:Q217,Q219:Q221,Q229,Q234)</f>
        <v>199</v>
      </c>
      <c r="R110" s="110">
        <f t="shared" si="34"/>
        <v>179.1</v>
      </c>
      <c r="S110" s="110">
        <f t="shared" si="34"/>
        <v>213.50000000000003</v>
      </c>
      <c r="T110" s="110">
        <f t="shared" si="34"/>
        <v>222.5</v>
      </c>
      <c r="U110" s="110">
        <f t="shared" si="34"/>
        <v>211.49999999999997</v>
      </c>
      <c r="V110" s="110">
        <f t="shared" si="34"/>
        <v>216.99999999999997</v>
      </c>
      <c r="W110" s="110">
        <f t="shared" si="34"/>
        <v>216.99999999999997</v>
      </c>
      <c r="X110" s="110">
        <f t="shared" si="34"/>
        <v>244.8</v>
      </c>
      <c r="Y110" s="110">
        <f t="shared" si="34"/>
        <v>272.60000000000002</v>
      </c>
      <c r="Z110" s="110">
        <f t="shared" si="34"/>
        <v>267.5</v>
      </c>
      <c r="AA110" s="110">
        <f t="shared" si="34"/>
        <v>245.70000000000002</v>
      </c>
      <c r="AB110" s="110">
        <f t="shared" ref="AB110" si="35">SUM(AB20,AB26,AB29:AB30,AB58,AB60:AB61,AB63,AB65,AB111:AB115,AB138,AB144,AB150,AB159,AB161,AB173,AB180,AB183:AB184,AB191,AB193,AB195,AB199:AB201,AB203:AB205,AB210,AB216:AB217,AB219:AB221,AB229,AB234)</f>
        <v>212.6</v>
      </c>
      <c r="AC110" s="110">
        <f t="shared" si="34"/>
        <v>185.5</v>
      </c>
      <c r="AD110" s="110"/>
      <c r="AE110" s="110">
        <f t="shared" si="34"/>
        <v>90.5</v>
      </c>
      <c r="AF110" s="110">
        <f t="shared" si="34"/>
        <v>74.5</v>
      </c>
      <c r="AG110" s="111"/>
      <c r="AH110" s="47">
        <f t="shared" si="19"/>
        <v>272.60000000000002</v>
      </c>
      <c r="AI110" s="48">
        <f t="shared" si="20"/>
        <v>24.44</v>
      </c>
    </row>
    <row r="111" spans="1:37" x14ac:dyDescent="0.25">
      <c r="A111" s="99" t="s">
        <v>119</v>
      </c>
      <c r="B111" s="112">
        <v>12.2</v>
      </c>
      <c r="C111" s="112">
        <v>9.6999999999999993</v>
      </c>
      <c r="D111" s="112">
        <v>11.1</v>
      </c>
      <c r="E111" s="112">
        <v>15.2</v>
      </c>
      <c r="F111" s="112">
        <v>16.2</v>
      </c>
      <c r="G111" s="112">
        <v>18</v>
      </c>
      <c r="H111" s="112">
        <v>25.7</v>
      </c>
      <c r="I111" s="112">
        <v>29.1</v>
      </c>
      <c r="J111" s="112">
        <v>29.9</v>
      </c>
      <c r="K111" s="112">
        <v>30.3</v>
      </c>
      <c r="L111" s="112">
        <v>38.799999999999997</v>
      </c>
      <c r="M111" s="112">
        <v>39.1</v>
      </c>
      <c r="N111" s="112">
        <v>36.4</v>
      </c>
      <c r="O111" s="112">
        <v>37.4</v>
      </c>
      <c r="P111" s="112">
        <v>39.1</v>
      </c>
      <c r="Q111" s="112">
        <v>33.700000000000003</v>
      </c>
      <c r="R111" s="112"/>
      <c r="S111" s="112">
        <v>43</v>
      </c>
      <c r="T111" s="112">
        <v>40.700000000000003</v>
      </c>
      <c r="U111" s="112">
        <v>41.2</v>
      </c>
      <c r="V111" s="112">
        <v>41.2</v>
      </c>
      <c r="W111" s="112">
        <v>41.2</v>
      </c>
      <c r="X111" s="112">
        <v>47.1</v>
      </c>
      <c r="Y111" s="112">
        <v>68</v>
      </c>
      <c r="Z111" s="112">
        <v>66</v>
      </c>
      <c r="AA111" s="112">
        <v>67.599999999999994</v>
      </c>
      <c r="AB111" s="112">
        <v>61.5</v>
      </c>
      <c r="AC111" s="112">
        <v>53</v>
      </c>
      <c r="AD111" s="112">
        <v>50</v>
      </c>
      <c r="AE111" s="112">
        <v>44</v>
      </c>
      <c r="AF111" s="112">
        <v>41</v>
      </c>
      <c r="AG111" s="113">
        <v>75</v>
      </c>
      <c r="AH111" s="47">
        <f t="shared" si="19"/>
        <v>68</v>
      </c>
      <c r="AI111" s="48">
        <f t="shared" si="20"/>
        <v>9.6999999999999993</v>
      </c>
    </row>
    <row r="112" spans="1:37" x14ac:dyDescent="0.25">
      <c r="A112" s="102" t="s">
        <v>120</v>
      </c>
      <c r="B112" s="114">
        <v>19.399999999999999</v>
      </c>
      <c r="C112" s="114">
        <v>15.3</v>
      </c>
      <c r="D112" s="114">
        <v>19</v>
      </c>
      <c r="E112" s="114">
        <v>21.5</v>
      </c>
      <c r="F112" s="114">
        <v>25.9</v>
      </c>
      <c r="G112" s="114">
        <v>28.8</v>
      </c>
      <c r="H112" s="114">
        <v>41.2</v>
      </c>
      <c r="I112" s="114">
        <v>41.5</v>
      </c>
      <c r="J112" s="114">
        <v>41.3</v>
      </c>
      <c r="K112" s="114">
        <v>41</v>
      </c>
      <c r="L112" s="114">
        <v>54.8</v>
      </c>
      <c r="M112" s="114">
        <v>56.5</v>
      </c>
      <c r="N112" s="114">
        <v>50.6</v>
      </c>
      <c r="O112" s="114">
        <v>52.6</v>
      </c>
      <c r="P112" s="114">
        <v>54.4</v>
      </c>
      <c r="Q112" s="114">
        <v>46.6</v>
      </c>
      <c r="R112" s="114"/>
      <c r="S112" s="114">
        <v>57.6</v>
      </c>
      <c r="T112" s="114">
        <v>56.7</v>
      </c>
      <c r="U112" s="114">
        <v>58.2</v>
      </c>
      <c r="V112" s="114">
        <v>58.2</v>
      </c>
      <c r="W112" s="114">
        <v>58.2</v>
      </c>
      <c r="X112" s="114">
        <v>66.2</v>
      </c>
      <c r="Y112" s="114">
        <v>98.1</v>
      </c>
      <c r="Z112" s="114">
        <v>95</v>
      </c>
      <c r="AA112" s="114">
        <v>98</v>
      </c>
      <c r="AB112" s="114">
        <v>88.7</v>
      </c>
      <c r="AC112" s="114">
        <v>76</v>
      </c>
      <c r="AD112" s="114">
        <v>65</v>
      </c>
      <c r="AE112" s="114">
        <v>61</v>
      </c>
      <c r="AF112" s="114">
        <v>56</v>
      </c>
      <c r="AG112" s="113">
        <v>240</v>
      </c>
      <c r="AH112" s="47">
        <f t="shared" si="19"/>
        <v>98.1</v>
      </c>
      <c r="AI112" s="48">
        <f t="shared" si="20"/>
        <v>15.3</v>
      </c>
    </row>
    <row r="113" spans="1:37" x14ac:dyDescent="0.25">
      <c r="A113" s="102" t="s">
        <v>121</v>
      </c>
      <c r="B113" s="114">
        <v>-140</v>
      </c>
      <c r="C113" s="114">
        <v>-140</v>
      </c>
      <c r="D113" s="114">
        <v>-146</v>
      </c>
      <c r="E113" s="114">
        <v>-135.6</v>
      </c>
      <c r="F113" s="114">
        <v>-156.30000000000001</v>
      </c>
      <c r="G113" s="114">
        <v>-148.9</v>
      </c>
      <c r="H113" s="114">
        <v>-146.6</v>
      </c>
      <c r="I113" s="114">
        <v>-130.19999999999999</v>
      </c>
      <c r="J113" s="114">
        <v>-125.6</v>
      </c>
      <c r="K113" s="114">
        <v>-105.6</v>
      </c>
      <c r="L113" s="114">
        <v>-116.6</v>
      </c>
      <c r="M113" s="114">
        <v>-128.9</v>
      </c>
      <c r="N113" s="114">
        <f>-59-63</f>
        <v>-122</v>
      </c>
      <c r="O113" s="114">
        <f>-52-55</f>
        <v>-107</v>
      </c>
      <c r="P113" s="114">
        <f>-56-62</f>
        <v>-118</v>
      </c>
      <c r="Q113" s="114">
        <f>-56-60</f>
        <v>-116</v>
      </c>
      <c r="R113" s="114"/>
      <c r="S113" s="114">
        <v>-95</v>
      </c>
      <c r="T113" s="114">
        <v>-106</v>
      </c>
      <c r="U113" s="114">
        <v>-105</v>
      </c>
      <c r="V113" s="114">
        <v>-105</v>
      </c>
      <c r="W113" s="114">
        <v>-105</v>
      </c>
      <c r="X113" s="114">
        <v>-90</v>
      </c>
      <c r="Y113" s="114">
        <v>-151</v>
      </c>
      <c r="Z113" s="114">
        <v>-153</v>
      </c>
      <c r="AA113" s="114">
        <v>-160</v>
      </c>
      <c r="AB113" s="114">
        <v>-155.80000000000001</v>
      </c>
      <c r="AC113" s="114">
        <v>-160</v>
      </c>
      <c r="AD113" s="114">
        <v>-170</v>
      </c>
      <c r="AE113" s="114">
        <v>-173</v>
      </c>
      <c r="AF113" s="114">
        <v>-175</v>
      </c>
      <c r="AG113" s="113">
        <v>240</v>
      </c>
      <c r="AH113" s="47">
        <f t="shared" si="19"/>
        <v>-90</v>
      </c>
      <c r="AI113" s="48">
        <f t="shared" si="20"/>
        <v>-175</v>
      </c>
    </row>
    <row r="114" spans="1:37" x14ac:dyDescent="0.25">
      <c r="A114" s="102" t="s">
        <v>122</v>
      </c>
      <c r="B114" s="114">
        <v>-7</v>
      </c>
      <c r="C114" s="114">
        <v>-7.4</v>
      </c>
      <c r="D114" s="114">
        <v>-11</v>
      </c>
      <c r="E114" s="114">
        <v>-5</v>
      </c>
      <c r="F114" s="114">
        <v>-7.4</v>
      </c>
      <c r="G114" s="114">
        <v>-5.5</v>
      </c>
      <c r="H114" s="114">
        <v>-2.2000000000000002</v>
      </c>
      <c r="I114" s="114">
        <v>0</v>
      </c>
      <c r="J114" s="114">
        <v>1.1000000000000001</v>
      </c>
      <c r="K114" s="114">
        <v>4.7</v>
      </c>
      <c r="L114" s="114">
        <v>5.5</v>
      </c>
      <c r="M114" s="114">
        <v>4.2</v>
      </c>
      <c r="N114" s="114">
        <v>1.3</v>
      </c>
      <c r="O114" s="114">
        <v>11.7</v>
      </c>
      <c r="P114" s="114">
        <v>13.9</v>
      </c>
      <c r="Q114" s="114">
        <v>6.1</v>
      </c>
      <c r="R114" s="114"/>
      <c r="S114" s="114">
        <v>20</v>
      </c>
      <c r="T114" s="114">
        <v>19</v>
      </c>
      <c r="U114" s="114">
        <v>9.5</v>
      </c>
      <c r="V114" s="114">
        <v>9.5</v>
      </c>
      <c r="W114" s="114">
        <v>9.5</v>
      </c>
      <c r="X114" s="114">
        <v>10</v>
      </c>
      <c r="Y114" s="114">
        <v>20</v>
      </c>
      <c r="Z114" s="114">
        <v>20</v>
      </c>
      <c r="AA114" s="114">
        <v>8</v>
      </c>
      <c r="AB114" s="114">
        <v>0.3</v>
      </c>
      <c r="AC114" s="114">
        <v>-2</v>
      </c>
      <c r="AD114" s="114">
        <v>-6</v>
      </c>
      <c r="AE114" s="114">
        <v>-8</v>
      </c>
      <c r="AF114" s="114">
        <v>-14</v>
      </c>
      <c r="AG114" s="113">
        <v>60</v>
      </c>
      <c r="AH114" s="47">
        <f t="shared" si="19"/>
        <v>20</v>
      </c>
      <c r="AI114" s="48">
        <f t="shared" si="20"/>
        <v>-14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19.899999999999999</v>
      </c>
      <c r="K115" s="116">
        <v>42.1</v>
      </c>
      <c r="L115" s="116">
        <v>53.3</v>
      </c>
      <c r="M115" s="116">
        <v>53.3</v>
      </c>
      <c r="N115" s="116">
        <v>48.6</v>
      </c>
      <c r="O115" s="116">
        <v>42.6</v>
      </c>
      <c r="P115" s="116">
        <v>45</v>
      </c>
      <c r="Q115" s="116">
        <v>47.3</v>
      </c>
      <c r="R115" s="116"/>
      <c r="S115" s="116">
        <v>8.6</v>
      </c>
      <c r="T115" s="116">
        <v>30.8</v>
      </c>
      <c r="U115" s="116">
        <v>31.1</v>
      </c>
      <c r="V115" s="116">
        <v>31.1</v>
      </c>
      <c r="W115" s="116">
        <v>31.1</v>
      </c>
      <c r="X115" s="116">
        <v>30</v>
      </c>
      <c r="Y115" s="116">
        <v>56</v>
      </c>
      <c r="Z115" s="116">
        <v>58</v>
      </c>
      <c r="AA115" s="116">
        <v>50.6</v>
      </c>
      <c r="AB115" s="116">
        <v>36.4</v>
      </c>
      <c r="AC115" s="116">
        <v>37</v>
      </c>
      <c r="AD115" s="116">
        <v>37</v>
      </c>
      <c r="AE115" s="116">
        <v>0</v>
      </c>
      <c r="AF115" s="116">
        <v>0</v>
      </c>
      <c r="AG115" s="117">
        <v>120</v>
      </c>
      <c r="AH115" s="47">
        <f t="shared" si="19"/>
        <v>58</v>
      </c>
      <c r="AI115" s="48">
        <f t="shared" si="20"/>
        <v>0</v>
      </c>
    </row>
    <row r="116" spans="1:37" x14ac:dyDescent="0.25">
      <c r="A116" s="115" t="s">
        <v>124</v>
      </c>
      <c r="B116" s="116">
        <v>47.3</v>
      </c>
      <c r="C116" s="116">
        <v>49.6</v>
      </c>
      <c r="D116" s="116">
        <v>54.3</v>
      </c>
      <c r="E116" s="116">
        <v>54.9</v>
      </c>
      <c r="F116" s="116">
        <v>34.5</v>
      </c>
      <c r="G116" s="116">
        <v>36</v>
      </c>
      <c r="H116" s="116">
        <v>22.9</v>
      </c>
      <c r="I116" s="116">
        <v>26.5</v>
      </c>
      <c r="J116" s="116">
        <v>29.8</v>
      </c>
      <c r="K116" s="116">
        <v>51.4</v>
      </c>
      <c r="L116" s="116">
        <v>37.6</v>
      </c>
      <c r="M116" s="116">
        <v>23.8</v>
      </c>
      <c r="N116" s="116">
        <v>36.9</v>
      </c>
      <c r="O116" s="116">
        <v>57.9</v>
      </c>
      <c r="P116" s="116">
        <v>40.200000000000003</v>
      </c>
      <c r="Q116" s="116">
        <v>57.2</v>
      </c>
      <c r="R116" s="116"/>
      <c r="S116" s="116">
        <v>30</v>
      </c>
      <c r="T116" s="116">
        <v>27</v>
      </c>
      <c r="U116" s="116">
        <v>25.2</v>
      </c>
      <c r="V116" s="116">
        <v>25.2</v>
      </c>
      <c r="W116" s="116">
        <v>25.2</v>
      </c>
      <c r="X116" s="116">
        <v>20</v>
      </c>
      <c r="Y116" s="116">
        <v>17</v>
      </c>
      <c r="Z116" s="116">
        <v>26</v>
      </c>
      <c r="AA116" s="116">
        <v>23</v>
      </c>
      <c r="AB116" s="116">
        <v>22.7</v>
      </c>
      <c r="AC116" s="116"/>
      <c r="AD116" s="116">
        <v>30</v>
      </c>
      <c r="AE116" s="116">
        <v>38</v>
      </c>
      <c r="AF116" s="116">
        <v>46</v>
      </c>
      <c r="AG116" s="117"/>
      <c r="AH116" s="47">
        <f t="shared" si="19"/>
        <v>57.9</v>
      </c>
      <c r="AI116" s="48">
        <f t="shared" si="20"/>
        <v>17</v>
      </c>
    </row>
    <row r="117" spans="1:37" x14ac:dyDescent="0.25">
      <c r="A117" s="115" t="s">
        <v>125</v>
      </c>
      <c r="B117" s="116">
        <v>-5.2</v>
      </c>
      <c r="C117" s="116">
        <v>-3.6</v>
      </c>
      <c r="D117" s="116">
        <v>-0.9</v>
      </c>
      <c r="E117" s="116">
        <v>-3.1</v>
      </c>
      <c r="F117" s="116">
        <v>0</v>
      </c>
      <c r="G117" s="116">
        <v>-4</v>
      </c>
      <c r="H117" s="116">
        <v>-7.6</v>
      </c>
      <c r="I117" s="116">
        <v>-5.5</v>
      </c>
      <c r="J117" s="116">
        <v>5.5</v>
      </c>
      <c r="K117" s="116">
        <v>1.4</v>
      </c>
      <c r="L117" s="116">
        <v>4.3</v>
      </c>
      <c r="M117" s="116">
        <v>11</v>
      </c>
      <c r="N117" s="116">
        <v>-6.1</v>
      </c>
      <c r="O117" s="116">
        <v>0</v>
      </c>
      <c r="P117" s="116">
        <v>0</v>
      </c>
      <c r="Q117" s="116">
        <v>-4.5</v>
      </c>
      <c r="R117" s="116"/>
      <c r="S117" s="116">
        <v>-40</v>
      </c>
      <c r="T117" s="116">
        <v>-20.2</v>
      </c>
      <c r="U117" s="116">
        <v>-17.100000000000001</v>
      </c>
      <c r="V117" s="116">
        <v>-17.100000000000001</v>
      </c>
      <c r="W117" s="116">
        <v>-17.100000000000001</v>
      </c>
      <c r="X117" s="116">
        <v>-12</v>
      </c>
      <c r="Y117" s="116">
        <v>-10</v>
      </c>
      <c r="Z117" s="116">
        <v>-3</v>
      </c>
      <c r="AA117" s="116">
        <v>-10</v>
      </c>
      <c r="AB117" s="116">
        <v>-22.4</v>
      </c>
      <c r="AC117" s="116">
        <v>37</v>
      </c>
      <c r="AD117" s="116">
        <v>20</v>
      </c>
      <c r="AE117" s="116">
        <v>3</v>
      </c>
      <c r="AF117" s="116">
        <v>2</v>
      </c>
      <c r="AG117" s="118"/>
      <c r="AH117" s="47">
        <f t="shared" si="19"/>
        <v>37</v>
      </c>
      <c r="AI117" s="48">
        <f t="shared" si="20"/>
        <v>-40</v>
      </c>
    </row>
    <row r="118" spans="1:37" x14ac:dyDescent="0.25">
      <c r="A118" s="119" t="s">
        <v>126</v>
      </c>
      <c r="B118" s="105">
        <v>53.2</v>
      </c>
      <c r="C118" s="105">
        <v>54.5</v>
      </c>
      <c r="D118" s="105">
        <v>56.3</v>
      </c>
      <c r="E118" s="105">
        <v>44.3</v>
      </c>
      <c r="F118" s="105">
        <v>61.9</v>
      </c>
      <c r="G118" s="105">
        <v>64</v>
      </c>
      <c r="H118" s="105">
        <v>66.8</v>
      </c>
      <c r="I118" s="105">
        <v>66.8</v>
      </c>
      <c r="J118" s="105">
        <v>65.099999999999994</v>
      </c>
      <c r="K118" s="105">
        <v>60</v>
      </c>
      <c r="L118" s="105">
        <v>38.200000000000003</v>
      </c>
      <c r="M118" s="105">
        <v>47.8</v>
      </c>
      <c r="N118" s="105">
        <v>48.9</v>
      </c>
      <c r="O118" s="105">
        <v>46.5</v>
      </c>
      <c r="P118" s="105">
        <v>44</v>
      </c>
      <c r="Q118" s="105">
        <v>22.7</v>
      </c>
      <c r="R118" s="105"/>
      <c r="S118" s="105">
        <v>34</v>
      </c>
      <c r="T118" s="105">
        <v>38.1</v>
      </c>
      <c r="U118" s="105">
        <v>40</v>
      </c>
      <c r="V118" s="105">
        <v>40</v>
      </c>
      <c r="W118" s="105">
        <v>40</v>
      </c>
      <c r="X118" s="105">
        <v>38.1</v>
      </c>
      <c r="Y118" s="105">
        <v>35</v>
      </c>
      <c r="Z118" s="105">
        <v>30</v>
      </c>
      <c r="AA118" s="105">
        <v>33.200000000000003</v>
      </c>
      <c r="AB118" s="105">
        <v>40.6</v>
      </c>
      <c r="AC118" s="105">
        <v>38</v>
      </c>
      <c r="AD118" s="105">
        <v>40</v>
      </c>
      <c r="AE118" s="105">
        <v>43</v>
      </c>
      <c r="AF118" s="105">
        <v>48</v>
      </c>
      <c r="AG118" s="118"/>
      <c r="AH118" s="47">
        <f t="shared" si="19"/>
        <v>66.8</v>
      </c>
      <c r="AI118" s="48">
        <f t="shared" si="20"/>
        <v>22.7</v>
      </c>
    </row>
    <row r="119" spans="1:37" x14ac:dyDescent="0.25">
      <c r="A119" s="120" t="s">
        <v>127</v>
      </c>
      <c r="B119" s="105">
        <v>94</v>
      </c>
      <c r="C119" s="105">
        <v>92.6</v>
      </c>
      <c r="D119" s="105">
        <v>97</v>
      </c>
      <c r="E119" s="105">
        <v>93</v>
      </c>
      <c r="F119" s="105">
        <v>112.6</v>
      </c>
      <c r="G119" s="105">
        <v>106.5</v>
      </c>
      <c r="H119" s="105">
        <v>111.1</v>
      </c>
      <c r="I119" s="105">
        <v>100</v>
      </c>
      <c r="J119" s="105">
        <v>91.9</v>
      </c>
      <c r="K119" s="105">
        <v>79.5</v>
      </c>
      <c r="L119" s="105">
        <v>92</v>
      </c>
      <c r="M119" s="105">
        <v>100</v>
      </c>
      <c r="N119" s="105">
        <v>95</v>
      </c>
      <c r="O119" s="105">
        <v>89</v>
      </c>
      <c r="P119" s="105">
        <v>90.6</v>
      </c>
      <c r="Q119" s="105">
        <v>89</v>
      </c>
      <c r="R119" s="105"/>
      <c r="S119" s="105">
        <v>89</v>
      </c>
      <c r="T119" s="105">
        <v>89</v>
      </c>
      <c r="U119" s="105">
        <v>88</v>
      </c>
      <c r="V119" s="105">
        <v>88</v>
      </c>
      <c r="W119" s="105">
        <v>88</v>
      </c>
      <c r="X119" s="105">
        <v>69.099999999999994</v>
      </c>
      <c r="Y119" s="105">
        <v>80</v>
      </c>
      <c r="Z119" s="105">
        <v>82</v>
      </c>
      <c r="AA119" s="105">
        <v>86.4</v>
      </c>
      <c r="AB119" s="105">
        <v>83.4</v>
      </c>
      <c r="AC119" s="105">
        <v>93</v>
      </c>
      <c r="AD119" s="105">
        <v>90</v>
      </c>
      <c r="AE119" s="105">
        <v>90</v>
      </c>
      <c r="AF119" s="105">
        <v>87</v>
      </c>
      <c r="AG119" s="118"/>
      <c r="AH119" s="47">
        <f t="shared" si="19"/>
        <v>112.6</v>
      </c>
      <c r="AI119" s="48">
        <f t="shared" si="20"/>
        <v>69.099999999999994</v>
      </c>
    </row>
    <row r="120" spans="1:37" ht="15.75" thickBot="1" x14ac:dyDescent="0.3">
      <c r="A120" s="119" t="s">
        <v>128</v>
      </c>
      <c r="B120" s="105">
        <v>21.5</v>
      </c>
      <c r="C120" s="105">
        <v>20.8</v>
      </c>
      <c r="D120" s="105">
        <v>12.2</v>
      </c>
      <c r="E120" s="105">
        <v>29.9</v>
      </c>
      <c r="F120" s="105">
        <v>2.8</v>
      </c>
      <c r="G120" s="105">
        <v>4.0999999999999996</v>
      </c>
      <c r="H120" s="105">
        <v>-7.2</v>
      </c>
      <c r="I120" s="105">
        <v>-11.2</v>
      </c>
      <c r="J120" s="105">
        <v>-6.4</v>
      </c>
      <c r="K120" s="105">
        <v>-0.5</v>
      </c>
      <c r="L120" s="105">
        <v>11.5</v>
      </c>
      <c r="M120" s="105">
        <v>4.5</v>
      </c>
      <c r="N120" s="105">
        <v>6.4</v>
      </c>
      <c r="O120" s="105">
        <v>15.9</v>
      </c>
      <c r="P120" s="105">
        <v>17.600000000000001</v>
      </c>
      <c r="Q120" s="105">
        <v>28.4</v>
      </c>
      <c r="R120" s="105"/>
      <c r="S120" s="105">
        <v>26</v>
      </c>
      <c r="T120" s="105">
        <v>24</v>
      </c>
      <c r="U120" s="105">
        <v>12</v>
      </c>
      <c r="V120" s="105">
        <v>12</v>
      </c>
      <c r="W120" s="105">
        <v>12</v>
      </c>
      <c r="X120" s="105">
        <v>17</v>
      </c>
      <c r="Y120" s="105">
        <v>32</v>
      </c>
      <c r="Z120" s="105">
        <v>32</v>
      </c>
      <c r="AA120" s="105">
        <v>28</v>
      </c>
      <c r="AB120" s="105">
        <v>29.8</v>
      </c>
      <c r="AC120" s="105">
        <v>40</v>
      </c>
      <c r="AD120" s="105">
        <v>40</v>
      </c>
      <c r="AE120" s="105">
        <v>38</v>
      </c>
      <c r="AF120" s="105">
        <v>27</v>
      </c>
      <c r="AG120" s="118"/>
      <c r="AH120" s="47">
        <f t="shared" si="19"/>
        <v>40</v>
      </c>
      <c r="AI120" s="48">
        <f t="shared" si="20"/>
        <v>-11.2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36">SUM(B122:B226)</f>
        <v>0</v>
      </c>
      <c r="C227" s="136">
        <f t="shared" si="36"/>
        <v>0</v>
      </c>
      <c r="D227" s="136">
        <f t="shared" si="36"/>
        <v>0</v>
      </c>
      <c r="E227" s="136">
        <f t="shared" si="36"/>
        <v>0</v>
      </c>
      <c r="F227" s="136">
        <f t="shared" si="36"/>
        <v>0</v>
      </c>
      <c r="G227" s="136">
        <f t="shared" si="36"/>
        <v>0</v>
      </c>
      <c r="H227" s="136">
        <f t="shared" si="36"/>
        <v>0</v>
      </c>
      <c r="I227" s="136">
        <f t="shared" si="36"/>
        <v>0</v>
      </c>
      <c r="J227" s="136">
        <f t="shared" si="36"/>
        <v>0</v>
      </c>
      <c r="K227" s="136">
        <f t="shared" si="36"/>
        <v>0</v>
      </c>
      <c r="L227" s="136">
        <f t="shared" si="36"/>
        <v>0</v>
      </c>
      <c r="M227" s="136">
        <f t="shared" si="36"/>
        <v>0</v>
      </c>
      <c r="N227" s="136">
        <f t="shared" si="36"/>
        <v>0</v>
      </c>
      <c r="O227" s="136">
        <f t="shared" si="36"/>
        <v>0</v>
      </c>
      <c r="P227" s="136">
        <f t="shared" si="36"/>
        <v>0</v>
      </c>
      <c r="Q227" s="136">
        <f t="shared" si="36"/>
        <v>0</v>
      </c>
      <c r="R227" s="136">
        <f t="shared" si="36"/>
        <v>0</v>
      </c>
      <c r="S227" s="136">
        <f t="shared" si="36"/>
        <v>0</v>
      </c>
      <c r="T227" s="136">
        <f t="shared" si="36"/>
        <v>0</v>
      </c>
      <c r="U227" s="136">
        <f t="shared" si="36"/>
        <v>0</v>
      </c>
      <c r="V227" s="136">
        <f t="shared" si="36"/>
        <v>0</v>
      </c>
      <c r="W227" s="136">
        <f t="shared" si="36"/>
        <v>0</v>
      </c>
      <c r="X227" s="136">
        <f t="shared" si="36"/>
        <v>0</v>
      </c>
      <c r="Y227" s="136">
        <f t="shared" si="36"/>
        <v>0</v>
      </c>
      <c r="Z227" s="136">
        <f t="shared" si="36"/>
        <v>0</v>
      </c>
      <c r="AA227" s="136">
        <f t="shared" si="36"/>
        <v>0</v>
      </c>
      <c r="AB227" s="136">
        <f t="shared" si="36"/>
        <v>0</v>
      </c>
      <c r="AC227" s="136">
        <f t="shared" si="36"/>
        <v>0</v>
      </c>
      <c r="AD227" s="136">
        <f t="shared" si="36"/>
        <v>0</v>
      </c>
      <c r="AE227" s="136">
        <f t="shared" si="36"/>
        <v>0</v>
      </c>
      <c r="AF227" s="137">
        <f t="shared" si="36"/>
        <v>0</v>
      </c>
      <c r="AG227" s="138">
        <f t="shared" si="36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7">AF229</f>
        <v>0</v>
      </c>
      <c r="C229" s="140">
        <v>0.3</v>
      </c>
      <c r="D229" s="140">
        <f t="shared" ref="D229:P234" si="38">C229</f>
        <v>0.3</v>
      </c>
      <c r="E229" s="140">
        <f t="shared" si="38"/>
        <v>0.3</v>
      </c>
      <c r="F229" s="140">
        <f t="shared" si="38"/>
        <v>0.3</v>
      </c>
      <c r="G229" s="140">
        <f t="shared" si="38"/>
        <v>0.3</v>
      </c>
      <c r="H229" s="140">
        <f t="shared" si="38"/>
        <v>0.3</v>
      </c>
      <c r="I229" s="140">
        <f t="shared" si="38"/>
        <v>0.3</v>
      </c>
      <c r="J229" s="140">
        <f t="shared" si="38"/>
        <v>0.3</v>
      </c>
      <c r="K229" s="140">
        <f t="shared" si="38"/>
        <v>0.3</v>
      </c>
      <c r="L229" s="140">
        <f t="shared" si="38"/>
        <v>0.3</v>
      </c>
      <c r="M229" s="140">
        <f t="shared" si="38"/>
        <v>0.3</v>
      </c>
      <c r="N229" s="140">
        <f t="shared" si="38"/>
        <v>0.3</v>
      </c>
      <c r="O229" s="140">
        <f t="shared" si="38"/>
        <v>0.3</v>
      </c>
      <c r="P229" s="140">
        <f t="shared" si="38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7"/>
        <v>0</v>
      </c>
      <c r="C230" s="128">
        <v>0.4</v>
      </c>
      <c r="D230" s="128">
        <f t="shared" si="38"/>
        <v>0.4</v>
      </c>
      <c r="E230" s="128">
        <f t="shared" si="38"/>
        <v>0.4</v>
      </c>
      <c r="F230" s="128">
        <f t="shared" si="38"/>
        <v>0.4</v>
      </c>
      <c r="G230" s="128">
        <f t="shared" si="38"/>
        <v>0.4</v>
      </c>
      <c r="H230" s="128">
        <f t="shared" si="38"/>
        <v>0.4</v>
      </c>
      <c r="I230" s="128">
        <f t="shared" si="38"/>
        <v>0.4</v>
      </c>
      <c r="J230" s="128">
        <f t="shared" si="38"/>
        <v>0.4</v>
      </c>
      <c r="K230" s="128">
        <f t="shared" si="38"/>
        <v>0.4</v>
      </c>
      <c r="L230" s="128">
        <f t="shared" si="38"/>
        <v>0.4</v>
      </c>
      <c r="M230" s="128">
        <f t="shared" si="38"/>
        <v>0.4</v>
      </c>
      <c r="N230" s="128">
        <f t="shared" si="38"/>
        <v>0.4</v>
      </c>
      <c r="O230" s="128">
        <f t="shared" si="38"/>
        <v>0.4</v>
      </c>
      <c r="P230" s="128">
        <f t="shared" si="38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7"/>
        <v>0</v>
      </c>
      <c r="C231" s="128">
        <v>1.5</v>
      </c>
      <c r="D231" s="128">
        <f t="shared" si="38"/>
        <v>1.5</v>
      </c>
      <c r="E231" s="128">
        <f t="shared" si="38"/>
        <v>1.5</v>
      </c>
      <c r="F231" s="128">
        <f t="shared" si="38"/>
        <v>1.5</v>
      </c>
      <c r="G231" s="128">
        <f t="shared" si="38"/>
        <v>1.5</v>
      </c>
      <c r="H231" s="128">
        <f t="shared" si="38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8"/>
        <v>123.21900000000009</v>
      </c>
      <c r="K231" s="128">
        <f t="shared" ca="1" si="38"/>
        <v>123.21900000000009</v>
      </c>
      <c r="L231" s="128">
        <f t="shared" ca="1" si="38"/>
        <v>123.21900000000009</v>
      </c>
      <c r="M231" s="128">
        <f t="shared" ca="1" si="38"/>
        <v>119.19900000000008</v>
      </c>
      <c r="N231" s="128">
        <f t="shared" ca="1" si="38"/>
        <v>119.19900000000008</v>
      </c>
      <c r="O231" s="128">
        <f t="shared" ca="1" si="38"/>
        <v>119.19900000000008</v>
      </c>
      <c r="P231" s="128">
        <f t="shared" ca="1" si="38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7"/>
        <v>0</v>
      </c>
      <c r="C232" s="128">
        <v>0.3</v>
      </c>
      <c r="D232" s="128">
        <f t="shared" si="38"/>
        <v>0.3</v>
      </c>
      <c r="E232" s="128">
        <f t="shared" si="38"/>
        <v>0.3</v>
      </c>
      <c r="F232" s="128">
        <f t="shared" si="38"/>
        <v>0.3</v>
      </c>
      <c r="G232" s="128">
        <f t="shared" si="38"/>
        <v>0.3</v>
      </c>
      <c r="H232" s="128">
        <f t="shared" si="38"/>
        <v>0.3</v>
      </c>
      <c r="I232" s="128">
        <f t="shared" si="38"/>
        <v>0.3</v>
      </c>
      <c r="J232" s="128">
        <f t="shared" si="38"/>
        <v>0.3</v>
      </c>
      <c r="K232" s="128">
        <f t="shared" si="38"/>
        <v>0.3</v>
      </c>
      <c r="L232" s="128">
        <f t="shared" si="38"/>
        <v>0.3</v>
      </c>
      <c r="M232" s="128">
        <f t="shared" si="38"/>
        <v>0.3</v>
      </c>
      <c r="N232" s="128">
        <f t="shared" si="38"/>
        <v>0.3</v>
      </c>
      <c r="O232" s="128">
        <f t="shared" si="38"/>
        <v>0.3</v>
      </c>
      <c r="P232" s="128">
        <f t="shared" si="38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7"/>
        <v>0</v>
      </c>
      <c r="C233" s="128">
        <v>0.4</v>
      </c>
      <c r="D233" s="128">
        <f t="shared" si="38"/>
        <v>0.4</v>
      </c>
      <c r="E233" s="128">
        <f t="shared" si="38"/>
        <v>0.4</v>
      </c>
      <c r="F233" s="128">
        <f t="shared" si="38"/>
        <v>0.4</v>
      </c>
      <c r="G233" s="128">
        <f t="shared" si="38"/>
        <v>0.4</v>
      </c>
      <c r="H233" s="128">
        <f t="shared" si="38"/>
        <v>0.4</v>
      </c>
      <c r="I233" s="128">
        <f t="shared" si="38"/>
        <v>0.4</v>
      </c>
      <c r="J233" s="128">
        <f t="shared" si="38"/>
        <v>0.4</v>
      </c>
      <c r="K233" s="128">
        <f t="shared" si="38"/>
        <v>0.4</v>
      </c>
      <c r="L233" s="128">
        <f t="shared" si="38"/>
        <v>0.4</v>
      </c>
      <c r="M233" s="128">
        <f t="shared" si="38"/>
        <v>0.4</v>
      </c>
      <c r="N233" s="128">
        <f t="shared" si="38"/>
        <v>0.4</v>
      </c>
      <c r="O233" s="128">
        <f t="shared" si="38"/>
        <v>0.4</v>
      </c>
      <c r="P233" s="128">
        <f t="shared" si="38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7"/>
        <v>0</v>
      </c>
      <c r="C234" s="132">
        <v>0.64</v>
      </c>
      <c r="D234" s="132">
        <f t="shared" si="38"/>
        <v>0.64</v>
      </c>
      <c r="E234" s="132">
        <f t="shared" si="38"/>
        <v>0.64</v>
      </c>
      <c r="F234" s="132">
        <f t="shared" si="38"/>
        <v>0.64</v>
      </c>
      <c r="G234" s="132">
        <f t="shared" si="38"/>
        <v>0.64</v>
      </c>
      <c r="H234" s="132">
        <f t="shared" si="38"/>
        <v>0.64</v>
      </c>
      <c r="I234" s="132">
        <f t="shared" si="38"/>
        <v>0.64</v>
      </c>
      <c r="J234" s="132">
        <f t="shared" si="38"/>
        <v>0.64</v>
      </c>
      <c r="K234" s="132">
        <f t="shared" si="38"/>
        <v>0.64</v>
      </c>
      <c r="L234" s="132">
        <f t="shared" si="38"/>
        <v>0.64</v>
      </c>
      <c r="M234" s="132">
        <f t="shared" si="38"/>
        <v>0.64</v>
      </c>
      <c r="N234" s="132">
        <f t="shared" si="38"/>
        <v>0.64</v>
      </c>
      <c r="O234" s="132">
        <f t="shared" si="38"/>
        <v>0.64</v>
      </c>
      <c r="P234" s="132">
        <f t="shared" si="38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9">SUM(B229:B234)</f>
        <v>0</v>
      </c>
      <c r="C235" s="136">
        <f t="shared" si="39"/>
        <v>3.54</v>
      </c>
      <c r="D235" s="136">
        <f t="shared" si="39"/>
        <v>3.54</v>
      </c>
      <c r="E235" s="136">
        <f t="shared" si="39"/>
        <v>3.54</v>
      </c>
      <c r="F235" s="136">
        <f t="shared" si="39"/>
        <v>3.54</v>
      </c>
      <c r="G235" s="136">
        <f t="shared" si="39"/>
        <v>3.54</v>
      </c>
      <c r="H235" s="136">
        <f t="shared" si="39"/>
        <v>3.54</v>
      </c>
      <c r="I235" s="136">
        <f t="shared" ca="1" si="39"/>
        <v>121.23900000000009</v>
      </c>
      <c r="J235" s="136">
        <f t="shared" ca="1" si="39"/>
        <v>121.23900000000009</v>
      </c>
      <c r="K235" s="136">
        <f t="shared" ca="1" si="39"/>
        <v>121.23900000000009</v>
      </c>
      <c r="L235" s="136">
        <f t="shared" ca="1" si="39"/>
        <v>125.2590000000001</v>
      </c>
      <c r="M235" s="136">
        <f t="shared" ca="1" si="39"/>
        <v>121.23900000000009</v>
      </c>
      <c r="N235" s="136">
        <f t="shared" ca="1" si="39"/>
        <v>121.23900000000009</v>
      </c>
      <c r="O235" s="136">
        <f t="shared" ca="1" si="39"/>
        <v>121.23900000000009</v>
      </c>
      <c r="P235" s="136">
        <f t="shared" ca="1" si="39"/>
        <v>121.23900000000009</v>
      </c>
      <c r="Q235" s="136">
        <f t="shared" si="39"/>
        <v>0</v>
      </c>
      <c r="R235" s="136">
        <f t="shared" si="39"/>
        <v>0</v>
      </c>
      <c r="S235" s="136">
        <f t="shared" si="39"/>
        <v>0</v>
      </c>
      <c r="T235" s="136">
        <f t="shared" si="39"/>
        <v>0</v>
      </c>
      <c r="U235" s="136">
        <f t="shared" si="39"/>
        <v>0</v>
      </c>
      <c r="V235" s="136">
        <f t="shared" si="39"/>
        <v>0</v>
      </c>
      <c r="W235" s="136">
        <f t="shared" si="39"/>
        <v>0</v>
      </c>
      <c r="X235" s="136">
        <f t="shared" si="39"/>
        <v>0</v>
      </c>
      <c r="Y235" s="136">
        <f t="shared" si="39"/>
        <v>0</v>
      </c>
      <c r="Z235" s="136">
        <f t="shared" si="39"/>
        <v>0</v>
      </c>
      <c r="AA235" s="136">
        <f t="shared" si="39"/>
        <v>0</v>
      </c>
      <c r="AB235" s="136">
        <f t="shared" si="39"/>
        <v>0</v>
      </c>
      <c r="AC235" s="136">
        <f t="shared" si="39"/>
        <v>0</v>
      </c>
      <c r="AD235" s="136">
        <f t="shared" si="39"/>
        <v>0</v>
      </c>
      <c r="AE235" s="136">
        <f t="shared" si="39"/>
        <v>0</v>
      </c>
      <c r="AF235" s="136">
        <f t="shared" si="39"/>
        <v>0</v>
      </c>
      <c r="AG235" s="145">
        <f t="shared" si="39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2136.34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40">B91</f>
        <v>2008.2400000000002</v>
      </c>
      <c r="U249" s="170">
        <f t="shared" si="40"/>
        <v>2004.2400000000002</v>
      </c>
      <c r="V249" s="170">
        <f t="shared" si="40"/>
        <v>2004.5400000000002</v>
      </c>
      <c r="W249" s="170">
        <f t="shared" si="40"/>
        <v>2016.2400000000002</v>
      </c>
      <c r="X249" s="170">
        <f t="shared" si="40"/>
        <v>2021.2400000000002</v>
      </c>
      <c r="Y249" s="170">
        <f t="shared" si="40"/>
        <v>2015.2400000000002</v>
      </c>
      <c r="Z249" s="170">
        <f t="shared" si="40"/>
        <v>2042.54</v>
      </c>
      <c r="AA249" s="170">
        <f t="shared" si="40"/>
        <v>2062.54</v>
      </c>
      <c r="AB249" s="170">
        <f t="shared" si="40"/>
        <v>2083.14</v>
      </c>
      <c r="AC249" s="170">
        <f t="shared" si="40"/>
        <v>2098.14</v>
      </c>
      <c r="AD249" s="170">
        <f t="shared" si="40"/>
        <v>2128.84</v>
      </c>
      <c r="AE249" s="170">
        <f t="shared" si="40"/>
        <v>2133.84</v>
      </c>
      <c r="AF249" s="170">
        <f t="shared" si="40"/>
        <v>2136.34</v>
      </c>
      <c r="AG249" s="170">
        <f t="shared" si="40"/>
        <v>2155.44</v>
      </c>
      <c r="AH249" s="170">
        <f t="shared" si="40"/>
        <v>2168.64</v>
      </c>
      <c r="AI249" s="170">
        <f t="shared" si="40"/>
        <v>2127.7399999999998</v>
      </c>
      <c r="AJ249" s="170">
        <f t="shared" si="40"/>
        <v>2110.6400000000003</v>
      </c>
      <c r="AK249" s="170">
        <f t="shared" si="40"/>
        <v>2121.04</v>
      </c>
      <c r="AL249" s="170">
        <f t="shared" si="40"/>
        <v>2130.04</v>
      </c>
      <c r="AM249" s="170">
        <f t="shared" si="40"/>
        <v>2133.44</v>
      </c>
      <c r="AN249" s="170">
        <f t="shared" si="40"/>
        <v>2136.6400000000003</v>
      </c>
      <c r="AO249" s="170">
        <f t="shared" si="40"/>
        <v>2119.6400000000003</v>
      </c>
      <c r="AP249" s="170">
        <f t="shared" si="40"/>
        <v>2145.1400000000003</v>
      </c>
      <c r="AQ249" s="170">
        <f t="shared" si="40"/>
        <v>2190.84</v>
      </c>
      <c r="AR249" s="170">
        <f t="shared" si="40"/>
        <v>2228.04</v>
      </c>
      <c r="AS249" s="170">
        <f t="shared" si="40"/>
        <v>2185.5400000000004</v>
      </c>
      <c r="AT249" s="170">
        <f t="shared" si="40"/>
        <v>2144.7400000000002</v>
      </c>
      <c r="AU249" s="170">
        <f t="shared" si="40"/>
        <v>2138.1400000000003</v>
      </c>
      <c r="AV249" s="170">
        <f t="shared" si="40"/>
        <v>2094.1400000000003</v>
      </c>
      <c r="AW249" s="170">
        <f t="shared" si="40"/>
        <v>2046.54</v>
      </c>
      <c r="AX249" s="170">
        <f t="shared" si="40"/>
        <v>2046.54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41">C234</f>
        <v>0.64</v>
      </c>
      <c r="C270" s="173">
        <f t="shared" si="41"/>
        <v>0.64</v>
      </c>
      <c r="D270" s="173">
        <f t="shared" si="41"/>
        <v>0.64</v>
      </c>
      <c r="E270" s="173">
        <f t="shared" si="41"/>
        <v>0.64</v>
      </c>
      <c r="F270" s="173">
        <f t="shared" si="41"/>
        <v>0.64</v>
      </c>
      <c r="G270" s="173">
        <f t="shared" si="41"/>
        <v>0.64</v>
      </c>
      <c r="H270" s="173">
        <f t="shared" si="41"/>
        <v>0.64</v>
      </c>
      <c r="I270" s="173">
        <f t="shared" si="41"/>
        <v>0.64</v>
      </c>
      <c r="J270" s="173">
        <f t="shared" si="41"/>
        <v>0.64</v>
      </c>
      <c r="K270" s="173">
        <f t="shared" si="41"/>
        <v>0.64</v>
      </c>
      <c r="L270" s="173">
        <f t="shared" si="41"/>
        <v>0.64</v>
      </c>
      <c r="M270" s="173">
        <f t="shared" si="41"/>
        <v>0.64</v>
      </c>
      <c r="N270" s="173">
        <f t="shared" si="41"/>
        <v>0.64</v>
      </c>
      <c r="O270" s="173">
        <f t="shared" si="41"/>
        <v>0.64</v>
      </c>
      <c r="P270" s="173">
        <f t="shared" si="41"/>
        <v>0</v>
      </c>
      <c r="Q270" s="173">
        <f t="shared" si="41"/>
        <v>0</v>
      </c>
      <c r="R270" s="173">
        <f t="shared" si="41"/>
        <v>0</v>
      </c>
      <c r="S270" s="173">
        <f t="shared" si="41"/>
        <v>0</v>
      </c>
      <c r="T270" s="173">
        <f t="shared" si="41"/>
        <v>0</v>
      </c>
      <c r="U270" s="173">
        <f t="shared" si="41"/>
        <v>0</v>
      </c>
      <c r="V270" s="173">
        <f t="shared" si="41"/>
        <v>0</v>
      </c>
      <c r="W270" s="173">
        <f t="shared" si="41"/>
        <v>0</v>
      </c>
      <c r="X270" s="173">
        <f t="shared" si="41"/>
        <v>0</v>
      </c>
      <c r="Y270" s="173">
        <f t="shared" si="41"/>
        <v>0</v>
      </c>
      <c r="Z270" s="173">
        <f t="shared" si="41"/>
        <v>0</v>
      </c>
      <c r="AA270" s="173">
        <f t="shared" si="41"/>
        <v>0</v>
      </c>
      <c r="AB270" s="173">
        <f t="shared" si="41"/>
        <v>0</v>
      </c>
      <c r="AC270" s="173">
        <f t="shared" si="41"/>
        <v>0</v>
      </c>
      <c r="AD270" s="173">
        <f t="shared" si="41"/>
        <v>0</v>
      </c>
      <c r="AE270" s="173">
        <f t="shared" si="41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42">IF(B238&lt;100,"",B238-520)</f>
        <v/>
      </c>
      <c r="C271" s="174" t="str">
        <f t="shared" si="42"/>
        <v/>
      </c>
      <c r="D271" s="174" t="str">
        <f t="shared" si="42"/>
        <v/>
      </c>
      <c r="E271" s="174" t="str">
        <f t="shared" si="42"/>
        <v/>
      </c>
      <c r="F271" s="174" t="str">
        <f t="shared" si="42"/>
        <v/>
      </c>
      <c r="G271" s="174" t="str">
        <f t="shared" si="42"/>
        <v/>
      </c>
      <c r="H271" s="174" t="str">
        <f t="shared" si="42"/>
        <v/>
      </c>
      <c r="I271" s="174" t="str">
        <f t="shared" si="42"/>
        <v/>
      </c>
      <c r="J271" s="174" t="str">
        <f t="shared" si="42"/>
        <v/>
      </c>
      <c r="K271" s="174" t="str">
        <f t="shared" si="42"/>
        <v/>
      </c>
      <c r="L271" s="174" t="str">
        <f t="shared" si="42"/>
        <v/>
      </c>
      <c r="M271" s="174" t="str">
        <f t="shared" si="42"/>
        <v/>
      </c>
      <c r="N271" s="174" t="str">
        <f t="shared" si="42"/>
        <v/>
      </c>
      <c r="O271" s="174" t="str">
        <f t="shared" si="42"/>
        <v/>
      </c>
      <c r="P271" s="174" t="str">
        <f t="shared" si="42"/>
        <v/>
      </c>
      <c r="Q271" s="174" t="str">
        <f t="shared" si="42"/>
        <v/>
      </c>
      <c r="R271" s="174" t="str">
        <f t="shared" si="42"/>
        <v/>
      </c>
      <c r="S271" s="174" t="str">
        <f t="shared" si="42"/>
        <v/>
      </c>
      <c r="T271" s="174" t="str">
        <f t="shared" si="42"/>
        <v/>
      </c>
      <c r="U271" s="174" t="str">
        <f t="shared" si="42"/>
        <v/>
      </c>
      <c r="V271" s="174" t="str">
        <f t="shared" si="42"/>
        <v/>
      </c>
      <c r="W271" s="174" t="str">
        <f t="shared" si="42"/>
        <v/>
      </c>
      <c r="X271" s="174" t="str">
        <f t="shared" si="42"/>
        <v/>
      </c>
      <c r="Y271" s="174" t="str">
        <f t="shared" si="42"/>
        <v/>
      </c>
      <c r="Z271" s="174" t="str">
        <f t="shared" si="42"/>
        <v/>
      </c>
      <c r="AA271" s="174" t="str">
        <f t="shared" si="42"/>
        <v/>
      </c>
      <c r="AB271" s="174" t="str">
        <f t="shared" si="42"/>
        <v/>
      </c>
      <c r="AC271" s="174" t="str">
        <f t="shared" si="42"/>
        <v/>
      </c>
      <c r="AD271" s="174" t="str">
        <f t="shared" si="42"/>
        <v/>
      </c>
      <c r="AE271" s="174" t="str">
        <f t="shared" si="42"/>
        <v/>
      </c>
      <c r="AF271" s="174" t="str">
        <f t="shared" si="42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43">IF(B239&lt;100,"",B239-620)</f>
        <v/>
      </c>
      <c r="C272" s="174" t="str">
        <f t="shared" si="43"/>
        <v/>
      </c>
      <c r="D272" s="174" t="str">
        <f t="shared" si="43"/>
        <v/>
      </c>
      <c r="E272" s="174" t="str">
        <f t="shared" si="43"/>
        <v/>
      </c>
      <c r="F272" s="174" t="str">
        <f t="shared" si="43"/>
        <v/>
      </c>
      <c r="G272" s="174" t="str">
        <f t="shared" si="43"/>
        <v/>
      </c>
      <c r="H272" s="174" t="str">
        <f t="shared" si="43"/>
        <v/>
      </c>
      <c r="I272" s="174" t="str">
        <f t="shared" si="43"/>
        <v/>
      </c>
      <c r="J272" s="174" t="str">
        <f t="shared" si="43"/>
        <v/>
      </c>
      <c r="K272" s="174" t="str">
        <f t="shared" si="43"/>
        <v/>
      </c>
      <c r="L272" s="174" t="str">
        <f t="shared" si="43"/>
        <v/>
      </c>
      <c r="M272" s="174" t="str">
        <f t="shared" si="43"/>
        <v/>
      </c>
      <c r="N272" s="174" t="str">
        <f t="shared" si="43"/>
        <v/>
      </c>
      <c r="O272" s="174" t="str">
        <f t="shared" si="43"/>
        <v/>
      </c>
      <c r="P272" s="174" t="str">
        <f t="shared" si="43"/>
        <v/>
      </c>
      <c r="Q272" s="174" t="str">
        <f t="shared" si="43"/>
        <v/>
      </c>
      <c r="R272" s="174" t="str">
        <f t="shared" si="43"/>
        <v/>
      </c>
      <c r="S272" s="174" t="str">
        <f t="shared" si="43"/>
        <v/>
      </c>
      <c r="T272" s="174" t="str">
        <f t="shared" si="43"/>
        <v/>
      </c>
      <c r="U272" s="174" t="str">
        <f t="shared" si="43"/>
        <v/>
      </c>
      <c r="V272" s="174" t="str">
        <f t="shared" si="43"/>
        <v/>
      </c>
      <c r="W272" s="174" t="str">
        <f t="shared" si="43"/>
        <v/>
      </c>
      <c r="X272" s="174" t="str">
        <f t="shared" si="43"/>
        <v/>
      </c>
      <c r="Y272" s="174" t="str">
        <f t="shared" si="43"/>
        <v/>
      </c>
      <c r="Z272" s="174" t="str">
        <f t="shared" si="43"/>
        <v/>
      </c>
      <c r="AA272" s="174" t="str">
        <f t="shared" si="43"/>
        <v/>
      </c>
      <c r="AB272" s="174" t="str">
        <f t="shared" si="43"/>
        <v/>
      </c>
      <c r="AC272" s="174" t="str">
        <f t="shared" si="43"/>
        <v/>
      </c>
      <c r="AD272" s="174" t="str">
        <f t="shared" si="43"/>
        <v/>
      </c>
      <c r="AE272" s="174" t="str">
        <f t="shared" si="43"/>
        <v/>
      </c>
      <c r="AF272" s="174" t="str">
        <f t="shared" si="43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44">IF(B240&lt;100,"",B240-330)</f>
        <v/>
      </c>
      <c r="C273" s="174" t="str">
        <f t="shared" si="44"/>
        <v/>
      </c>
      <c r="D273" s="174" t="str">
        <f t="shared" si="44"/>
        <v/>
      </c>
      <c r="E273" s="174" t="str">
        <f t="shared" si="44"/>
        <v/>
      </c>
      <c r="F273" s="174" t="str">
        <f t="shared" si="44"/>
        <v/>
      </c>
      <c r="G273" s="174" t="str">
        <f t="shared" si="44"/>
        <v/>
      </c>
      <c r="H273" s="174" t="str">
        <f t="shared" si="44"/>
        <v/>
      </c>
      <c r="I273" s="174" t="str">
        <f t="shared" si="44"/>
        <v/>
      </c>
      <c r="J273" s="174" t="str">
        <f t="shared" si="44"/>
        <v/>
      </c>
      <c r="K273" s="174" t="str">
        <f t="shared" si="44"/>
        <v/>
      </c>
      <c r="L273" s="174" t="str">
        <f t="shared" si="44"/>
        <v/>
      </c>
      <c r="M273" s="174" t="str">
        <f t="shared" si="44"/>
        <v/>
      </c>
      <c r="N273" s="174" t="str">
        <f t="shared" si="44"/>
        <v/>
      </c>
      <c r="O273" s="174" t="str">
        <f t="shared" si="44"/>
        <v/>
      </c>
      <c r="P273" s="174" t="str">
        <f t="shared" si="44"/>
        <v/>
      </c>
      <c r="Q273" s="174" t="str">
        <f t="shared" si="44"/>
        <v/>
      </c>
      <c r="R273" s="174" t="str">
        <f t="shared" si="44"/>
        <v/>
      </c>
      <c r="S273" s="174" t="str">
        <f t="shared" si="44"/>
        <v/>
      </c>
      <c r="T273" s="174" t="str">
        <f t="shared" si="44"/>
        <v/>
      </c>
      <c r="U273" s="174" t="str">
        <f t="shared" si="44"/>
        <v/>
      </c>
      <c r="V273" s="174" t="str">
        <f t="shared" si="44"/>
        <v/>
      </c>
      <c r="W273" s="174" t="str">
        <f t="shared" si="44"/>
        <v/>
      </c>
      <c r="X273" s="174" t="str">
        <f t="shared" si="44"/>
        <v/>
      </c>
      <c r="Y273" s="174" t="str">
        <f t="shared" si="44"/>
        <v/>
      </c>
      <c r="Z273" s="174" t="str">
        <f t="shared" si="44"/>
        <v/>
      </c>
      <c r="AA273" s="174" t="str">
        <f t="shared" si="44"/>
        <v/>
      </c>
      <c r="AB273" s="174" t="str">
        <f t="shared" si="44"/>
        <v/>
      </c>
      <c r="AC273" s="174" t="str">
        <f t="shared" si="44"/>
        <v/>
      </c>
      <c r="AD273" s="174" t="str">
        <f t="shared" si="44"/>
        <v/>
      </c>
      <c r="AE273" s="174" t="str">
        <f t="shared" si="44"/>
        <v/>
      </c>
      <c r="AF273" s="174" t="str">
        <f t="shared" si="44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45">IF(B241&lt;100,"",B241-1500)</f>
        <v/>
      </c>
      <c r="C274" s="174" t="str">
        <f t="shared" si="45"/>
        <v/>
      </c>
      <c r="D274" s="174" t="str">
        <f t="shared" si="45"/>
        <v/>
      </c>
      <c r="E274" s="174" t="str">
        <f t="shared" si="45"/>
        <v/>
      </c>
      <c r="F274" s="174" t="str">
        <f t="shared" si="45"/>
        <v/>
      </c>
      <c r="G274" s="174" t="str">
        <f t="shared" si="45"/>
        <v/>
      </c>
      <c r="H274" s="174" t="str">
        <f t="shared" si="45"/>
        <v/>
      </c>
      <c r="I274" s="174" t="str">
        <f t="shared" si="45"/>
        <v/>
      </c>
      <c r="J274" s="174" t="str">
        <f t="shared" si="45"/>
        <v/>
      </c>
      <c r="K274" s="174" t="str">
        <f t="shared" si="45"/>
        <v/>
      </c>
      <c r="L274" s="174" t="str">
        <f t="shared" si="45"/>
        <v/>
      </c>
      <c r="M274" s="174" t="str">
        <f t="shared" si="45"/>
        <v/>
      </c>
      <c r="N274" s="174" t="str">
        <f t="shared" si="45"/>
        <v/>
      </c>
      <c r="O274" s="174" t="str">
        <f t="shared" si="45"/>
        <v/>
      </c>
      <c r="P274" s="174" t="str">
        <f t="shared" si="45"/>
        <v/>
      </c>
      <c r="Q274" s="174" t="str">
        <f t="shared" si="45"/>
        <v/>
      </c>
      <c r="R274" s="174" t="str">
        <f t="shared" si="45"/>
        <v/>
      </c>
      <c r="S274" s="174" t="str">
        <f t="shared" si="45"/>
        <v/>
      </c>
      <c r="T274" s="174" t="str">
        <f t="shared" si="45"/>
        <v/>
      </c>
      <c r="U274" s="174" t="str">
        <f t="shared" si="45"/>
        <v/>
      </c>
      <c r="V274" s="174" t="str">
        <f t="shared" si="45"/>
        <v/>
      </c>
      <c r="W274" s="174" t="str">
        <f t="shared" si="45"/>
        <v/>
      </c>
      <c r="X274" s="174" t="str">
        <f t="shared" si="45"/>
        <v/>
      </c>
      <c r="Y274" s="174" t="str">
        <f t="shared" si="45"/>
        <v/>
      </c>
      <c r="Z274" s="174" t="str">
        <f t="shared" si="45"/>
        <v/>
      </c>
      <c r="AA274" s="174" t="str">
        <f t="shared" si="45"/>
        <v/>
      </c>
      <c r="AB274" s="174" t="str">
        <f t="shared" si="45"/>
        <v/>
      </c>
      <c r="AC274" s="174" t="str">
        <f t="shared" si="45"/>
        <v/>
      </c>
      <c r="AD274" s="174" t="str">
        <f t="shared" si="45"/>
        <v/>
      </c>
      <c r="AE274" s="174" t="str">
        <f t="shared" si="45"/>
        <v/>
      </c>
      <c r="AF274" s="174" t="str">
        <f t="shared" si="45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095" priority="64">
      <formula>$AH11=0</formula>
    </cfRule>
  </conditionalFormatting>
  <conditionalFormatting sqref="B8 M8 S8 AB8">
    <cfRule type="expression" dxfId="1094" priority="117">
      <formula>C$9&lt;8/24</formula>
    </cfRule>
    <cfRule type="expression" dxfId="1093" priority="116">
      <formula>AND(C$9&gt;=8/24,C$9&lt;14/24)</formula>
    </cfRule>
    <cfRule type="expression" dxfId="1092" priority="115">
      <formula>AND(C$9&gt;=14/24,C$9&lt;20/24)</formula>
    </cfRule>
  </conditionalFormatting>
  <conditionalFormatting sqref="B54:C54">
    <cfRule type="expression" dxfId="1091" priority="38">
      <formula>B$9&gt;=20/24</formula>
    </cfRule>
    <cfRule type="expression" dxfId="1090" priority="39">
      <formula>AND(B$9&gt;=14/24,B$9&lt;20/24)</formula>
    </cfRule>
    <cfRule type="expression" dxfId="1089" priority="40">
      <formula>AND(B$9&gt;=8/24,B$9&lt;14/24)</formula>
    </cfRule>
    <cfRule type="expression" dxfId="1088" priority="41">
      <formula>B$9&lt;8/24</formula>
    </cfRule>
  </conditionalFormatting>
  <conditionalFormatting sqref="B54:C66">
    <cfRule type="expression" dxfId="1087" priority="33">
      <formula>B54&gt;$AG54</formula>
    </cfRule>
  </conditionalFormatting>
  <conditionalFormatting sqref="B55:Q59 N59:AF59">
    <cfRule type="expression" dxfId="1086" priority="63">
      <formula>B$9&lt;8/24</formula>
    </cfRule>
    <cfRule type="expression" dxfId="1085" priority="62">
      <formula>AND(B$9&gt;=8/24,B$9&lt;14/24)</formula>
    </cfRule>
    <cfRule type="expression" dxfId="1084" priority="61">
      <formula>AND(B$9&gt;=14/24,B$9&lt;20/24)</formula>
    </cfRule>
    <cfRule type="expression" dxfId="1083" priority="60">
      <formula>B$9&gt;=20/24</formula>
    </cfRule>
  </conditionalFormatting>
  <conditionalFormatting sqref="B9:AF45">
    <cfRule type="expression" dxfId="1082" priority="25">
      <formula>AND(B$9&gt;=8/24,B$9&lt;14/24)</formula>
    </cfRule>
    <cfRule type="expression" dxfId="1081" priority="23">
      <formula>B$9&gt;=20/24</formula>
    </cfRule>
    <cfRule type="expression" dxfId="1080" priority="24">
      <formula>AND(B$9&gt;=14/24,B$9&lt;20/24)</formula>
    </cfRule>
    <cfRule type="expression" dxfId="1079" priority="26">
      <formula>B$9&lt;8/24</formula>
    </cfRule>
  </conditionalFormatting>
  <conditionalFormatting sqref="B11:AF46">
    <cfRule type="expression" dxfId="1078" priority="22">
      <formula>B11&gt;$AG11</formula>
    </cfRule>
  </conditionalFormatting>
  <conditionalFormatting sqref="B46:AF46">
    <cfRule type="expression" dxfId="1077" priority="18">
      <formula>B$9&gt;=20/24</formula>
    </cfRule>
    <cfRule type="expression" dxfId="1076" priority="19">
      <formula>AND(B$9&gt;=14/24,B$9&lt;20/24)</formula>
    </cfRule>
    <cfRule type="expression" dxfId="1075" priority="20">
      <formula>AND(B$9&gt;=8/24,B$9&lt;14/24)</formula>
    </cfRule>
    <cfRule type="expression" dxfId="1074" priority="21">
      <formula>B$9&lt;8/24</formula>
    </cfRule>
  </conditionalFormatting>
  <conditionalFormatting sqref="B47:AF47">
    <cfRule type="expression" dxfId="1073" priority="32">
      <formula>B47&gt;$AG47</formula>
    </cfRule>
  </conditionalFormatting>
  <conditionalFormatting sqref="B47:AF49">
    <cfRule type="expression" dxfId="1072" priority="28">
      <formula>B$9&gt;=20/24</formula>
    </cfRule>
    <cfRule type="expression" dxfId="1071" priority="29">
      <formula>AND(B$9&gt;=14/24,B$9&lt;20/24)</formula>
    </cfRule>
    <cfRule type="expression" dxfId="1070" priority="30">
      <formula>AND(B$9&gt;=8/24,B$9&lt;14/24)</formula>
    </cfRule>
    <cfRule type="expression" dxfId="1069" priority="31">
      <formula>B$9&lt;8/24</formula>
    </cfRule>
  </conditionalFormatting>
  <conditionalFormatting sqref="B48:AF53">
    <cfRule type="expression" dxfId="1068" priority="27">
      <formula>B48&gt;$AG48</formula>
    </cfRule>
  </conditionalFormatting>
  <conditionalFormatting sqref="B51:AF53">
    <cfRule type="expression" dxfId="1067" priority="50">
      <formula>B$9&lt;8/24</formula>
    </cfRule>
    <cfRule type="expression" dxfId="1066" priority="47">
      <formula>B$9&gt;=20/24</formula>
    </cfRule>
    <cfRule type="expression" dxfId="1065" priority="48">
      <formula>AND(B$9&gt;=14/24,B$9&lt;20/24)</formula>
    </cfRule>
    <cfRule type="expression" dxfId="1064" priority="49">
      <formula>AND(B$9&gt;=8/24,B$9&lt;14/24)</formula>
    </cfRule>
  </conditionalFormatting>
  <conditionalFormatting sqref="B60:AF66">
    <cfRule type="expression" dxfId="1063" priority="37">
      <formula>B$9&lt;8/24</formula>
    </cfRule>
    <cfRule type="expression" dxfId="1062" priority="34">
      <formula>B$9&gt;=20/24</formula>
    </cfRule>
    <cfRule type="expression" dxfId="1061" priority="35">
      <formula>AND(B$9&gt;=14/24,B$9&lt;20/24)</formula>
    </cfRule>
    <cfRule type="expression" dxfId="1060" priority="36">
      <formula>AND(B$9&gt;=8/24,B$9&lt;14/24)</formula>
    </cfRule>
  </conditionalFormatting>
  <conditionalFormatting sqref="B69:AF71">
    <cfRule type="expression" dxfId="1059" priority="55">
      <formula>B69&gt;$AG69</formula>
    </cfRule>
    <cfRule type="expression" dxfId="1058" priority="56">
      <formula>B$9&gt;=20/24</formula>
    </cfRule>
    <cfRule type="expression" dxfId="1057" priority="57">
      <formula>AND(B$9&gt;=14/24,B$9&lt;20/24)</formula>
    </cfRule>
    <cfRule type="expression" dxfId="1056" priority="58">
      <formula>AND(B$9&gt;=8/24,B$9&lt;14/24)</formula>
    </cfRule>
    <cfRule type="expression" dxfId="1055" priority="59">
      <formula>B$9&lt;8/24</formula>
    </cfRule>
  </conditionalFormatting>
  <conditionalFormatting sqref="B73:AF91">
    <cfRule type="expression" dxfId="1054" priority="3">
      <formula>AND(B$9&gt;=8/24,B$9&lt;14/24)</formula>
    </cfRule>
    <cfRule type="expression" dxfId="1053" priority="4">
      <formula>B$9&lt;8/24</formula>
    </cfRule>
    <cfRule type="expression" dxfId="1052" priority="2">
      <formula>AND(B$9&gt;=14/24,B$9&lt;20/24)</formula>
    </cfRule>
    <cfRule type="expression" dxfId="1051" priority="1">
      <formula>B$9&gt;=20/24</formula>
    </cfRule>
  </conditionalFormatting>
  <conditionalFormatting sqref="B111:AF120">
    <cfRule type="expression" dxfId="1050" priority="16">
      <formula>AND(B$9&gt;=8/24,B$9&lt;14/24)</formula>
    </cfRule>
    <cfRule type="expression" dxfId="1049" priority="14">
      <formula>B$9&gt;=20/24</formula>
    </cfRule>
    <cfRule type="expression" dxfId="1048" priority="15">
      <formula>AND(B$9&gt;=14/24,B$9&lt;20/24)</formula>
    </cfRule>
    <cfRule type="expression" dxfId="1047" priority="17">
      <formula>B$9&lt;8/24</formula>
    </cfRule>
  </conditionalFormatting>
  <conditionalFormatting sqref="B227:AF227 D229:AF230 B229:B235 D231:H231 J231:AF231 D232:AF235 U248:AF248">
    <cfRule type="expression" dxfId="1046" priority="109">
      <formula>AND(B$9&gt;=14/24,B$9&lt;20/24)</formula>
    </cfRule>
    <cfRule type="expression" dxfId="1045" priority="111">
      <formula>B$9&lt;8/24</formula>
    </cfRule>
    <cfRule type="expression" dxfId="1044" priority="110">
      <formula>AND(B$9&gt;=8/24,B$9&lt;14/24)</formula>
    </cfRule>
    <cfRule type="expression" dxfId="1043" priority="108">
      <formula>B$9&gt;=20/24</formula>
    </cfRule>
  </conditionalFormatting>
  <conditionalFormatting sqref="B67:AG68 B72:AG72">
    <cfRule type="expression" dxfId="1042" priority="42">
      <formula>B67&gt;$AG67</formula>
    </cfRule>
  </conditionalFormatting>
  <conditionalFormatting sqref="B72:AG72 B93:AF109">
    <cfRule type="expression" dxfId="1041" priority="46">
      <formula>B$9&lt;8/24</formula>
    </cfRule>
    <cfRule type="expression" dxfId="1040" priority="45">
      <formula>AND(B$9&gt;=8/24,B$9&lt;14/24)</formula>
    </cfRule>
    <cfRule type="expression" dxfId="1039" priority="44">
      <formula>AND(B$9&gt;=14/24,B$9&lt;20/24)</formula>
    </cfRule>
    <cfRule type="expression" dxfId="1038" priority="43">
      <formula>B$9&gt;=20/24</formula>
    </cfRule>
  </conditionalFormatting>
  <conditionalFormatting sqref="D55:AF66">
    <cfRule type="expression" dxfId="1037" priority="5">
      <formula>D55&gt;$AG55</formula>
    </cfRule>
  </conditionalFormatting>
  <conditionalFormatting sqref="D54:AG54">
    <cfRule type="expression" dxfId="1036" priority="76">
      <formula>D54&gt;$AG54</formula>
    </cfRule>
    <cfRule type="expression" dxfId="1035" priority="80">
      <formula>D$9&lt;8/24</formula>
    </cfRule>
    <cfRule type="expression" dxfId="1034" priority="79">
      <formula>AND(D$9&gt;=8/24,D$9&lt;14/24)</formula>
    </cfRule>
    <cfRule type="expression" dxfId="1033" priority="78">
      <formula>AND(D$9&gt;=14/24,D$9&lt;20/24)</formula>
    </cfRule>
    <cfRule type="expression" dxfId="1032" priority="77">
      <formula>D$9&gt;=20/24</formula>
    </cfRule>
  </conditionalFormatting>
  <conditionalFormatting sqref="I55:Q57">
    <cfRule type="expression" dxfId="1031" priority="91">
      <formula>AND(I$9&gt;=8/24,I$9&lt;14/24)</formula>
    </cfRule>
    <cfRule type="expression" dxfId="1030" priority="92">
      <formula>I$9&lt;8/24</formula>
    </cfRule>
    <cfRule type="expression" dxfId="1029" priority="89">
      <formula>I$9&gt;=20/24</formula>
    </cfRule>
    <cfRule type="expression" dxfId="1028" priority="90">
      <formula>AND(I$9&gt;=14/24,I$9&lt;20/24)</formula>
    </cfRule>
  </conditionalFormatting>
  <conditionalFormatting sqref="M55:AF59">
    <cfRule type="expression" dxfId="1027" priority="93">
      <formula>M$9&gt;=20/24</formula>
    </cfRule>
    <cfRule type="expression" dxfId="1026" priority="95">
      <formula>AND(M$9&gt;=8/24,M$9&lt;14/24)</formula>
    </cfRule>
    <cfRule type="expression" dxfId="1025" priority="96">
      <formula>M$9&lt;8/24</formula>
    </cfRule>
    <cfRule type="expression" dxfId="1024" priority="94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023" priority="114">
      <formula>C$9&gt;=20/24</formula>
    </cfRule>
  </conditionalFormatting>
  <conditionalFormatting sqref="S8">
    <cfRule type="expression" dxfId="1022" priority="101">
      <formula>U$9&gt;=20/24</formula>
    </cfRule>
    <cfRule type="expression" dxfId="1021" priority="102">
      <formula>AND(U$9&gt;=14/24,U$9&lt;20/24)</formula>
    </cfRule>
    <cfRule type="expression" dxfId="1020" priority="103">
      <formula>AND(U$9&gt;=8/24,U$9&lt;14/24)</formula>
    </cfRule>
    <cfRule type="expression" dxfId="1019" priority="104">
      <formula>U$9&lt;8/24</formula>
    </cfRule>
  </conditionalFormatting>
  <conditionalFormatting sqref="S55:AF60">
    <cfRule type="expression" dxfId="1018" priority="12">
      <formula>AND(S$9&gt;=8/24,S$9&lt;14/24)</formula>
    </cfRule>
    <cfRule type="expression" dxfId="1017" priority="11">
      <formula>AND(S$9&gt;=14/24,S$9&lt;20/24)</formula>
    </cfRule>
    <cfRule type="expression" dxfId="1016" priority="13">
      <formula>S$9&lt;8/24</formula>
    </cfRule>
    <cfRule type="expression" dxfId="1015" priority="10">
      <formula>S$9&gt;=20/24</formula>
    </cfRule>
  </conditionalFormatting>
  <conditionalFormatting sqref="T248">
    <cfRule type="expression" dxfId="1014" priority="126">
      <formula>AX$9&gt;=20/24</formula>
    </cfRule>
    <cfRule type="expression" dxfId="1013" priority="127">
      <formula>AND(AX$9&gt;=14/24,AX$9&lt;20/24)</formula>
    </cfRule>
    <cfRule type="expression" dxfId="1012" priority="128">
      <formula>AND(AX$9&gt;=8/24,AX$9&lt;14/24)</formula>
    </cfRule>
    <cfRule type="expression" dxfId="1011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010" priority="97">
      <formula>AD$9&gt;=20/24</formula>
    </cfRule>
    <cfRule type="expression" dxfId="1009" priority="98">
      <formula>AND(AD$9&gt;=14/24,AD$9&lt;20/24)</formula>
    </cfRule>
    <cfRule type="expression" dxfId="1008" priority="99">
      <formula>AND(AD$9&gt;=8/24,AD$9&lt;14/24)</formula>
    </cfRule>
    <cfRule type="expression" dxfId="1007" priority="100">
      <formula>AD$9&lt;8/24</formula>
    </cfRule>
  </conditionalFormatting>
  <conditionalFormatting sqref="AE61:AF66">
    <cfRule type="expression" dxfId="1006" priority="6">
      <formula>AE$9&gt;=20/24</formula>
    </cfRule>
    <cfRule type="expression" dxfId="1005" priority="7">
      <formula>AND(AE$9&gt;=14/24,AE$9&lt;20/24)</formula>
    </cfRule>
    <cfRule type="expression" dxfId="1004" priority="9">
      <formula>AE$9&lt;8/24</formula>
    </cfRule>
    <cfRule type="expression" dxfId="1003" priority="8">
      <formula>AND(AE$9&gt;=8/24,AE$9&lt;14/24)</formula>
    </cfRule>
  </conditionalFormatting>
  <conditionalFormatting sqref="AG50">
    <cfRule type="expression" dxfId="1002" priority="84">
      <formula>AG50&gt;$AG50</formula>
    </cfRule>
  </conditionalFormatting>
  <conditionalFormatting sqref="AG89">
    <cfRule type="expression" dxfId="1001" priority="87">
      <formula>AND(AG$9&gt;=8/24,AG$9&lt;14/24)</formula>
    </cfRule>
    <cfRule type="expression" dxfId="1000" priority="88">
      <formula>AG$9&lt;8/24</formula>
    </cfRule>
    <cfRule type="expression" dxfId="999" priority="86">
      <formula>AND(AG$9&gt;=14/24,AG$9&lt;20/24)</formula>
    </cfRule>
    <cfRule type="expression" dxfId="998" priority="85">
      <formula>AG$9&gt;=20/24</formula>
    </cfRule>
  </conditionalFormatting>
  <conditionalFormatting sqref="AG248">
    <cfRule type="expression" dxfId="997" priority="118">
      <formula>B$9&gt;=20/24</formula>
    </cfRule>
    <cfRule type="expression" dxfId="996" priority="119">
      <formula>AND(B$9&gt;=14/24,B$9&lt;20/24)</formula>
    </cfRule>
    <cfRule type="expression" dxfId="995" priority="120">
      <formula>AND(B$9&gt;=8/24,B$9&lt;14/24)</formula>
    </cfRule>
    <cfRule type="expression" dxfId="994" priority="121">
      <formula>B$9&lt;8/24</formula>
    </cfRule>
  </conditionalFormatting>
  <conditionalFormatting sqref="AH248:AX248">
    <cfRule type="expression" dxfId="993" priority="122">
      <formula>AG$9&gt;=20/24</formula>
    </cfRule>
    <cfRule type="expression" dxfId="992" priority="123">
      <formula>AND(AG$9&gt;=14/24,AG$9&lt;20/24)</formula>
    </cfRule>
    <cfRule type="expression" dxfId="991" priority="124">
      <formula>AND(AG$9&gt;=8/24,AG$9&lt;14/24)</formula>
    </cfRule>
    <cfRule type="expression" dxfId="99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989" priority="131">
      <formula>AJ$9&gt;=20/24</formula>
    </cfRule>
    <cfRule type="expression" dxfId="988" priority="132">
      <formula>AND(AJ$9&gt;=14/24,AJ$9&lt;20/24)</formula>
    </cfRule>
    <cfRule type="expression" dxfId="987" priority="133">
      <formula>AND(AJ$9&gt;=8/24,AJ$9&lt;14/24)</formula>
    </cfRule>
    <cfRule type="expression" dxfId="986" priority="134">
      <formula>AJ$9&lt;8/24</formula>
    </cfRule>
  </conditionalFormatting>
  <conditionalFormatting sqref="AL80:AN80 AL86:AN86">
    <cfRule type="expression" dxfId="985" priority="72">
      <formula>AL$9&gt;=20/24</formula>
    </cfRule>
    <cfRule type="expression" dxfId="984" priority="73">
      <formula>AND(AL$9&gt;=14/24,AL$9&lt;20/24)</formula>
    </cfRule>
    <cfRule type="expression" dxfId="983" priority="74">
      <formula>AND(AL$9&gt;=8/24,AL$9&lt;14/24)</formula>
    </cfRule>
    <cfRule type="expression" dxfId="982" priority="75">
      <formula>AL$9&lt;8/24</formula>
    </cfRule>
  </conditionalFormatting>
  <conditionalFormatting sqref="AN81:AN84">
    <cfRule type="expression" dxfId="981" priority="68">
      <formula>AN$9&gt;=20/24</formula>
    </cfRule>
    <cfRule type="expression" dxfId="980" priority="71">
      <formula>AN$9&lt;8/24</formula>
    </cfRule>
    <cfRule type="expression" dxfId="979" priority="70">
      <formula>AND(AN$9&gt;=8/24,AN$9&lt;14/24)</formula>
    </cfRule>
    <cfRule type="expression" dxfId="978" priority="69">
      <formula>AND(AN$9&gt;=14/24,AN$9&lt;20/24)</formula>
    </cfRule>
  </conditionalFormatting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CF4D-3818-4CFE-92FB-255F46859156}">
  <sheetPr codeName="Sheet30"/>
  <dimension ref="A1:CJ281"/>
  <sheetViews>
    <sheetView workbookViewId="0">
      <pane xSplit="1" ySplit="10" topLeftCell="B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B73" activeCellId="6" sqref="C73:G73 I73 K73 M73:V73 X73 Z73 AB73:AF7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2080/05/26</v>
      </c>
      <c r="C4" s="196"/>
      <c r="D4" s="196"/>
      <c r="E4" s="197" t="str">
        <f ca="1">"2080/"&amp;"05/"&amp;INT(MID(CELL("filename",G6),FIND("]",CELL("filename",G6))+1,200))</f>
        <v>2080/05/26</v>
      </c>
      <c r="F4" s="197"/>
      <c r="G4" s="197"/>
      <c r="H4" s="197" t="str">
        <f ca="1">TEXT(E4,"dddd")</f>
        <v>Sunday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2131MW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Load=2020</v>
      </c>
      <c r="B7" s="35">
        <f t="shared" ref="B7:AF7" si="1">B91</f>
        <v>2046.54</v>
      </c>
      <c r="C7" s="35">
        <f t="shared" si="1"/>
        <v>2034.54</v>
      </c>
      <c r="D7" s="35">
        <f t="shared" si="1"/>
        <v>2022.94</v>
      </c>
      <c r="E7" s="35">
        <f t="shared" si="1"/>
        <v>2030.3400000000001</v>
      </c>
      <c r="F7" s="35">
        <f t="shared" si="1"/>
        <v>2030.3400000000001</v>
      </c>
      <c r="G7" s="35">
        <f t="shared" si="1"/>
        <v>2029.54</v>
      </c>
      <c r="H7" s="35">
        <f t="shared" si="1"/>
        <v>2020.44</v>
      </c>
      <c r="I7" s="35">
        <f t="shared" si="1"/>
        <v>2041.3400000000001</v>
      </c>
      <c r="J7" s="35">
        <f t="shared" si="1"/>
        <v>2046.04</v>
      </c>
      <c r="K7" s="35">
        <f t="shared" si="1"/>
        <v>2046.64</v>
      </c>
      <c r="L7" s="35">
        <f t="shared" si="1"/>
        <v>2118.7400000000002</v>
      </c>
      <c r="M7" s="35">
        <f t="shared" si="1"/>
        <v>2131.1400000000003</v>
      </c>
      <c r="N7" s="35">
        <f>N91</f>
        <v>2084.04</v>
      </c>
      <c r="O7" s="35">
        <f t="shared" si="1"/>
        <v>2045.8400000000001</v>
      </c>
      <c r="P7" s="35">
        <f t="shared" si="1"/>
        <v>2044.2400000000002</v>
      </c>
      <c r="Q7" s="35">
        <f t="shared" si="1"/>
        <v>2049.6400000000003</v>
      </c>
      <c r="R7" s="35">
        <f t="shared" si="1"/>
        <v>2139.34</v>
      </c>
      <c r="S7" s="35">
        <f t="shared" si="1"/>
        <v>2129.9399999999996</v>
      </c>
      <c r="T7" s="35">
        <f t="shared" si="1"/>
        <v>2135.54</v>
      </c>
      <c r="U7" s="35">
        <f t="shared" si="1"/>
        <v>2144.7399999999998</v>
      </c>
      <c r="V7" s="35">
        <f t="shared" si="1"/>
        <v>2145.44</v>
      </c>
      <c r="W7" s="35">
        <f t="shared" si="1"/>
        <v>2120.44</v>
      </c>
      <c r="X7" s="35">
        <f t="shared" si="1"/>
        <v>2054.84</v>
      </c>
      <c r="Y7" s="35">
        <f t="shared" si="1"/>
        <v>2186.44</v>
      </c>
      <c r="Z7" s="35">
        <f t="shared" si="1"/>
        <v>2209.54</v>
      </c>
      <c r="AA7" s="35">
        <f t="shared" si="1"/>
        <v>2184.3399999999997</v>
      </c>
      <c r="AB7" s="35">
        <f t="shared" si="1"/>
        <v>2149.4400000000005</v>
      </c>
      <c r="AC7" s="35">
        <f t="shared" si="1"/>
        <v>2143.34</v>
      </c>
      <c r="AD7" s="35">
        <f t="shared" si="1"/>
        <v>2128.04</v>
      </c>
      <c r="AE7" s="35">
        <f t="shared" si="1"/>
        <v>2105.7400000000002</v>
      </c>
      <c r="AF7" s="35">
        <f t="shared" si="1"/>
        <v>2107.1400000000003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>
        <v>90.2</v>
      </c>
      <c r="S11" s="45">
        <v>90.1</v>
      </c>
      <c r="T11" s="45">
        <v>90.1</v>
      </c>
      <c r="U11" s="45">
        <v>90.1</v>
      </c>
      <c r="V11" s="45">
        <v>90.1</v>
      </c>
      <c r="W11" s="45">
        <v>90.1</v>
      </c>
      <c r="X11" s="45">
        <v>90.1</v>
      </c>
      <c r="Y11" s="45">
        <v>90.1</v>
      </c>
      <c r="Z11" s="45">
        <v>90.1</v>
      </c>
      <c r="AA11" s="45">
        <v>90.1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90.1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54.1</v>
      </c>
      <c r="C13" s="45">
        <v>54.1</v>
      </c>
      <c r="D13" s="45">
        <v>54.1</v>
      </c>
      <c r="E13" s="45">
        <v>54.1</v>
      </c>
      <c r="F13" s="45">
        <v>54.1</v>
      </c>
      <c r="G13" s="45">
        <v>54.1</v>
      </c>
      <c r="H13" s="45">
        <v>54.1</v>
      </c>
      <c r="I13" s="45">
        <v>54.1</v>
      </c>
      <c r="J13" s="45">
        <v>54.1</v>
      </c>
      <c r="K13" s="45">
        <v>54.1</v>
      </c>
      <c r="L13" s="45">
        <v>54.1</v>
      </c>
      <c r="M13" s="45">
        <v>54.1</v>
      </c>
      <c r="N13" s="45">
        <v>54.1</v>
      </c>
      <c r="O13" s="45">
        <v>54.1</v>
      </c>
      <c r="P13" s="45">
        <v>54.1</v>
      </c>
      <c r="Q13" s="45">
        <v>54.1</v>
      </c>
      <c r="R13" s="45">
        <v>54.1</v>
      </c>
      <c r="S13" s="45">
        <v>54.1</v>
      </c>
      <c r="T13" s="45">
        <v>54.1</v>
      </c>
      <c r="U13" s="45">
        <v>54.1</v>
      </c>
      <c r="V13" s="45">
        <v>29</v>
      </c>
      <c r="W13" s="45">
        <v>29</v>
      </c>
      <c r="X13" s="45">
        <v>29</v>
      </c>
      <c r="Y13" s="45">
        <v>0</v>
      </c>
      <c r="Z13" s="45">
        <v>0</v>
      </c>
      <c r="AA13" s="45">
        <v>0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54.2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50.3</v>
      </c>
      <c r="C14" s="58">
        <v>50.3</v>
      </c>
      <c r="D14" s="58">
        <v>50.3</v>
      </c>
      <c r="E14" s="58">
        <v>50.3</v>
      </c>
      <c r="F14" s="58">
        <v>50.3</v>
      </c>
      <c r="G14" s="58">
        <v>50.3</v>
      </c>
      <c r="H14" s="58">
        <v>50.3</v>
      </c>
      <c r="I14" s="58">
        <v>50.3</v>
      </c>
      <c r="J14" s="58">
        <v>50.3</v>
      </c>
      <c r="K14" s="58">
        <v>50.3</v>
      </c>
      <c r="L14" s="58">
        <v>50.3</v>
      </c>
      <c r="M14" s="58">
        <v>50.3</v>
      </c>
      <c r="N14" s="58">
        <v>50.3</v>
      </c>
      <c r="O14" s="58">
        <v>50.3</v>
      </c>
      <c r="P14" s="58">
        <v>50.3</v>
      </c>
      <c r="Q14" s="58">
        <v>50.3</v>
      </c>
      <c r="R14" s="58">
        <v>50.3</v>
      </c>
      <c r="S14" s="58">
        <v>50.3</v>
      </c>
      <c r="T14" s="58">
        <v>50.3</v>
      </c>
      <c r="U14" s="58">
        <v>50.3</v>
      </c>
      <c r="V14" s="58">
        <v>50.3</v>
      </c>
      <c r="W14" s="58">
        <v>50.3</v>
      </c>
      <c r="X14" s="58">
        <v>50.3</v>
      </c>
      <c r="Y14" s="58">
        <v>50.3</v>
      </c>
      <c r="Z14" s="58">
        <v>50.3</v>
      </c>
      <c r="AA14" s="58">
        <v>50.3</v>
      </c>
      <c r="AB14" s="45">
        <v>50.4</v>
      </c>
      <c r="AC14" s="45">
        <v>50.4</v>
      </c>
      <c r="AD14" s="45">
        <v>50.4</v>
      </c>
      <c r="AE14" s="45">
        <v>50.4</v>
      </c>
      <c r="AF14" s="45">
        <v>50.4</v>
      </c>
      <c r="AG14" s="49">
        <v>50</v>
      </c>
      <c r="AH14" s="47">
        <f t="shared" si="2"/>
        <v>50.4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47</v>
      </c>
      <c r="C15" s="45">
        <v>47</v>
      </c>
      <c r="D15" s="45">
        <v>47</v>
      </c>
      <c r="E15" s="45">
        <v>47</v>
      </c>
      <c r="F15" s="45">
        <v>47</v>
      </c>
      <c r="G15" s="45">
        <v>47</v>
      </c>
      <c r="H15" s="45">
        <v>47</v>
      </c>
      <c r="I15" s="45">
        <v>47</v>
      </c>
      <c r="J15" s="45">
        <v>47</v>
      </c>
      <c r="K15" s="45">
        <v>47</v>
      </c>
      <c r="L15" s="45">
        <v>47</v>
      </c>
      <c r="M15" s="45">
        <v>47</v>
      </c>
      <c r="N15" s="45">
        <v>47</v>
      </c>
      <c r="O15" s="45">
        <v>36</v>
      </c>
      <c r="P15" s="45">
        <v>36</v>
      </c>
      <c r="Q15" s="45">
        <v>36</v>
      </c>
      <c r="R15" s="45">
        <v>47</v>
      </c>
      <c r="S15" s="45">
        <v>47</v>
      </c>
      <c r="T15" s="45">
        <v>47</v>
      </c>
      <c r="U15" s="45">
        <v>47</v>
      </c>
      <c r="V15" s="45">
        <v>47</v>
      </c>
      <c r="W15" s="45">
        <v>47</v>
      </c>
      <c r="X15" s="45">
        <v>47</v>
      </c>
      <c r="Y15" s="45">
        <v>47</v>
      </c>
      <c r="Z15" s="45">
        <v>47</v>
      </c>
      <c r="AA15" s="45">
        <v>47</v>
      </c>
      <c r="AB15" s="45">
        <v>47</v>
      </c>
      <c r="AC15" s="45">
        <v>47</v>
      </c>
      <c r="AD15" s="45">
        <v>47</v>
      </c>
      <c r="AE15" s="45">
        <v>46.9</v>
      </c>
      <c r="AF15" s="45">
        <v>46.9</v>
      </c>
      <c r="AG15" s="49">
        <v>45</v>
      </c>
      <c r="AH15" s="47">
        <f t="shared" si="2"/>
        <v>47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0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29</v>
      </c>
      <c r="W17" s="45">
        <v>29</v>
      </c>
      <c r="X17" s="45">
        <v>0</v>
      </c>
      <c r="Y17" s="45">
        <v>29</v>
      </c>
      <c r="Z17" s="45">
        <v>42</v>
      </c>
      <c r="AA17" s="45">
        <v>42</v>
      </c>
      <c r="AB17" s="45">
        <v>0</v>
      </c>
      <c r="AC17" s="45">
        <v>0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42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36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>
        <v>5</v>
      </c>
      <c r="K20" s="45">
        <v>5</v>
      </c>
      <c r="L20" s="45">
        <v>30.1</v>
      </c>
      <c r="M20" s="45">
        <v>30.1</v>
      </c>
      <c r="N20" s="45">
        <v>15</v>
      </c>
      <c r="O20" s="45">
        <v>10.6</v>
      </c>
      <c r="P20" s="45">
        <v>10.6</v>
      </c>
      <c r="Q20" s="45">
        <v>10.6</v>
      </c>
      <c r="R20" s="45">
        <v>30</v>
      </c>
      <c r="S20" s="45">
        <v>15</v>
      </c>
      <c r="T20" s="45">
        <v>21.1</v>
      </c>
      <c r="U20" s="45">
        <v>21.1</v>
      </c>
      <c r="V20" s="45">
        <v>30.2</v>
      </c>
      <c r="W20" s="45">
        <v>20</v>
      </c>
      <c r="X20" s="45">
        <v>30</v>
      </c>
      <c r="Y20" s="45">
        <v>30</v>
      </c>
      <c r="Z20" s="45">
        <v>30</v>
      </c>
      <c r="AA20" s="45">
        <v>30</v>
      </c>
      <c r="AB20" s="45">
        <v>29.6</v>
      </c>
      <c r="AC20" s="45">
        <v>24</v>
      </c>
      <c r="AD20" s="45">
        <v>10.5</v>
      </c>
      <c r="AE20" s="45">
        <v>9.6999999999999993</v>
      </c>
      <c r="AF20" s="45">
        <v>9.6999999999999993</v>
      </c>
      <c r="AG20" s="51">
        <v>30</v>
      </c>
      <c r="AH20" s="47">
        <f t="shared" si="2"/>
        <v>30.2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20</v>
      </c>
      <c r="Q21" s="45">
        <v>20</v>
      </c>
      <c r="R21" s="45">
        <v>29.6</v>
      </c>
      <c r="S21" s="45">
        <v>29.6</v>
      </c>
      <c r="T21" s="45">
        <v>29.6</v>
      </c>
      <c r="U21" s="45">
        <v>29.6</v>
      </c>
      <c r="V21" s="45">
        <v>30.1</v>
      </c>
      <c r="W21" s="45">
        <v>30.1</v>
      </c>
      <c r="X21" s="45">
        <v>30.1</v>
      </c>
      <c r="Y21" s="45">
        <v>30.1</v>
      </c>
      <c r="Z21" s="45">
        <v>30.1</v>
      </c>
      <c r="AA21" s="45">
        <v>30.1</v>
      </c>
      <c r="AB21" s="45">
        <v>30.1</v>
      </c>
      <c r="AC21" s="45">
        <v>30.1</v>
      </c>
      <c r="AD21" s="45">
        <v>30.1</v>
      </c>
      <c r="AE21" s="45">
        <v>20.8</v>
      </c>
      <c r="AF21" s="45">
        <v>20.8</v>
      </c>
      <c r="AG21" s="49">
        <v>24.2</v>
      </c>
      <c r="AH21" s="47">
        <f t="shared" si="2"/>
        <v>30.1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20</v>
      </c>
      <c r="O22" s="45">
        <v>20</v>
      </c>
      <c r="P22" s="45">
        <v>20</v>
      </c>
      <c r="Q22" s="45">
        <v>20</v>
      </c>
      <c r="R22" s="45">
        <v>28.4</v>
      </c>
      <c r="S22" s="45">
        <v>28.4</v>
      </c>
      <c r="T22" s="45">
        <v>28.4</v>
      </c>
      <c r="U22" s="45">
        <v>28.4</v>
      </c>
      <c r="V22" s="45">
        <v>28.4</v>
      </c>
      <c r="W22" s="45">
        <v>28.4</v>
      </c>
      <c r="X22" s="45">
        <v>28.4</v>
      </c>
      <c r="Y22" s="45">
        <v>28.4</v>
      </c>
      <c r="Z22" s="45">
        <v>28.4</v>
      </c>
      <c r="AA22" s="45">
        <v>28.4</v>
      </c>
      <c r="AB22" s="45">
        <v>28.6</v>
      </c>
      <c r="AC22" s="45">
        <v>28.6</v>
      </c>
      <c r="AD22" s="45">
        <v>28.6</v>
      </c>
      <c r="AE22" s="45">
        <v>28.5</v>
      </c>
      <c r="AF22" s="45">
        <v>28.5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>
        <v>5</v>
      </c>
      <c r="G23" s="45">
        <v>5</v>
      </c>
      <c r="H23" s="45">
        <v>5</v>
      </c>
      <c r="I23" s="45">
        <v>5</v>
      </c>
      <c r="J23" s="45">
        <v>5</v>
      </c>
      <c r="K23" s="45">
        <v>5</v>
      </c>
      <c r="L23" s="45">
        <v>27</v>
      </c>
      <c r="M23" s="45">
        <v>27</v>
      </c>
      <c r="N23" s="45">
        <v>9</v>
      </c>
      <c r="O23" s="45">
        <v>9</v>
      </c>
      <c r="P23" s="45">
        <v>9</v>
      </c>
      <c r="Q23" s="45">
        <v>9</v>
      </c>
      <c r="R23" s="45">
        <v>14</v>
      </c>
      <c r="S23" s="45">
        <v>14</v>
      </c>
      <c r="T23" s="45">
        <v>13.5</v>
      </c>
      <c r="U23" s="45">
        <v>18</v>
      </c>
      <c r="V23" s="45">
        <v>18</v>
      </c>
      <c r="W23" s="45">
        <v>18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21.6</v>
      </c>
      <c r="AD23" s="45">
        <f>0.4*27</f>
        <v>10.8</v>
      </c>
      <c r="AE23" s="45">
        <v>8</v>
      </c>
      <c r="AF23" s="45">
        <v>8</v>
      </c>
      <c r="AG23" s="51">
        <v>30</v>
      </c>
      <c r="AH23" s="47">
        <f t="shared" si="2"/>
        <v>27</v>
      </c>
      <c r="AI23" s="48">
        <f t="shared" si="3"/>
        <v>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24.6</v>
      </c>
      <c r="C24" s="45">
        <v>24.6</v>
      </c>
      <c r="D24" s="45">
        <v>24.6</v>
      </c>
      <c r="E24" s="45">
        <v>24.6</v>
      </c>
      <c r="F24" s="45">
        <v>24.6</v>
      </c>
      <c r="G24" s="45">
        <v>24.6</v>
      </c>
      <c r="H24" s="45">
        <v>24.6</v>
      </c>
      <c r="I24" s="45">
        <v>24.6</v>
      </c>
      <c r="J24" s="45">
        <v>24.6</v>
      </c>
      <c r="K24" s="45">
        <v>24.6</v>
      </c>
      <c r="L24" s="45">
        <v>24.6</v>
      </c>
      <c r="M24" s="45">
        <v>24.6</v>
      </c>
      <c r="N24" s="45">
        <v>24.6</v>
      </c>
      <c r="O24" s="45">
        <v>24.6</v>
      </c>
      <c r="P24" s="45">
        <v>24.6</v>
      </c>
      <c r="Q24" s="45">
        <v>24.6</v>
      </c>
      <c r="R24" s="45">
        <v>24.6</v>
      </c>
      <c r="S24" s="45">
        <v>24.6</v>
      </c>
      <c r="T24" s="45">
        <v>24.6</v>
      </c>
      <c r="U24" s="45">
        <v>24.6</v>
      </c>
      <c r="V24" s="45">
        <v>24.6</v>
      </c>
      <c r="W24" s="45">
        <v>24.6</v>
      </c>
      <c r="X24" s="45">
        <v>24.6</v>
      </c>
      <c r="Y24" s="45">
        <v>24.6</v>
      </c>
      <c r="Z24" s="45">
        <v>24.6</v>
      </c>
      <c r="AA24" s="45">
        <v>24.6</v>
      </c>
      <c r="AB24" s="45">
        <v>26.2</v>
      </c>
      <c r="AC24" s="45">
        <v>26.2</v>
      </c>
      <c r="AD24" s="45">
        <v>26.2</v>
      </c>
      <c r="AE24" s="45">
        <v>26.2</v>
      </c>
      <c r="AF24" s="45">
        <v>26.2</v>
      </c>
      <c r="AG24" s="49">
        <v>25</v>
      </c>
      <c r="AH24" s="47">
        <f t="shared" si="2"/>
        <v>26.2</v>
      </c>
      <c r="AI24" s="48">
        <f t="shared" si="3"/>
        <v>24.6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25</v>
      </c>
      <c r="M27" s="45">
        <v>25</v>
      </c>
      <c r="N27" s="45">
        <v>8</v>
      </c>
      <c r="O27" s="45">
        <v>8</v>
      </c>
      <c r="P27" s="45">
        <v>8</v>
      </c>
      <c r="Q27" s="45">
        <v>8</v>
      </c>
      <c r="R27" s="45">
        <v>12</v>
      </c>
      <c r="S27" s="45">
        <v>12.5</v>
      </c>
      <c r="T27" s="45">
        <v>12.5</v>
      </c>
      <c r="U27" s="45">
        <v>17</v>
      </c>
      <c r="V27" s="45">
        <v>25</v>
      </c>
      <c r="W27" s="45">
        <v>17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20</v>
      </c>
      <c r="AD27" s="45">
        <v>10</v>
      </c>
      <c r="AE27" s="45">
        <v>7.5</v>
      </c>
      <c r="AF27" s="45">
        <v>7.5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24.7</v>
      </c>
      <c r="AF28" s="45">
        <v>24.7</v>
      </c>
      <c r="AG28" s="49">
        <v>23.5</v>
      </c>
      <c r="AH28" s="47">
        <f t="shared" si="2"/>
        <v>24.9</v>
      </c>
      <c r="AI28" s="48">
        <f t="shared" si="3"/>
        <v>24.7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11.5</v>
      </c>
      <c r="C29" s="45">
        <v>11.5</v>
      </c>
      <c r="D29" s="45">
        <v>11.5</v>
      </c>
      <c r="E29" s="45">
        <v>11.5</v>
      </c>
      <c r="F29" s="45">
        <v>11.5</v>
      </c>
      <c r="G29" s="45">
        <v>11.5</v>
      </c>
      <c r="H29" s="45">
        <v>11.5</v>
      </c>
      <c r="I29" s="45">
        <v>11.5</v>
      </c>
      <c r="J29" s="45">
        <v>11.5</v>
      </c>
      <c r="K29" s="45">
        <v>11.5</v>
      </c>
      <c r="L29" s="45">
        <v>11.5</v>
      </c>
      <c r="M29" s="45">
        <v>11.5</v>
      </c>
      <c r="N29" s="45">
        <v>11.5</v>
      </c>
      <c r="O29" s="45">
        <v>11.5</v>
      </c>
      <c r="P29" s="45">
        <v>11.5</v>
      </c>
      <c r="Q29" s="45">
        <v>11.5</v>
      </c>
      <c r="R29" s="45">
        <v>11.5</v>
      </c>
      <c r="S29" s="45">
        <v>11.5</v>
      </c>
      <c r="T29" s="45">
        <v>11.5</v>
      </c>
      <c r="U29" s="45">
        <v>11.5</v>
      </c>
      <c r="V29" s="45">
        <v>11.5</v>
      </c>
      <c r="W29" s="45">
        <v>11.5</v>
      </c>
      <c r="X29" s="45">
        <v>11.5</v>
      </c>
      <c r="Y29" s="45">
        <v>11.5</v>
      </c>
      <c r="Z29" s="45">
        <v>11.5</v>
      </c>
      <c r="AA29" s="45">
        <v>11.5</v>
      </c>
      <c r="AB29" s="45">
        <v>11.5</v>
      </c>
      <c r="AC29" s="45">
        <v>11.5</v>
      </c>
      <c r="AD29" s="45">
        <v>11.5</v>
      </c>
      <c r="AE29" s="45">
        <v>11.5</v>
      </c>
      <c r="AF29" s="45">
        <v>11.5</v>
      </c>
      <c r="AG29" s="49">
        <v>22.2</v>
      </c>
      <c r="AH29" s="47">
        <f t="shared" si="2"/>
        <v>11.5</v>
      </c>
      <c r="AI29" s="48">
        <f t="shared" si="3"/>
        <v>11.5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8</v>
      </c>
      <c r="K33" s="45">
        <v>8</v>
      </c>
      <c r="L33" s="45">
        <v>8</v>
      </c>
      <c r="M33" s="45">
        <v>8</v>
      </c>
      <c r="N33" s="45">
        <v>8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0</v>
      </c>
      <c r="Y33" s="45">
        <v>5</v>
      </c>
      <c r="Z33" s="45">
        <v>10</v>
      </c>
      <c r="AA33" s="45">
        <v>10</v>
      </c>
      <c r="AB33" s="45">
        <v>0</v>
      </c>
      <c r="AC33" s="45">
        <v>0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7</v>
      </c>
      <c r="K34" s="45">
        <v>7</v>
      </c>
      <c r="L34" s="45">
        <v>7</v>
      </c>
      <c r="M34" s="45">
        <v>7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7</v>
      </c>
      <c r="W34" s="45">
        <v>7</v>
      </c>
      <c r="X34" s="45">
        <v>0</v>
      </c>
      <c r="Y34" s="45">
        <v>7</v>
      </c>
      <c r="Z34" s="45">
        <v>7</v>
      </c>
      <c r="AA34" s="45">
        <v>7</v>
      </c>
      <c r="AB34" s="45">
        <v>9</v>
      </c>
      <c r="AC34" s="45">
        <v>9</v>
      </c>
      <c r="AD34" s="45">
        <v>9</v>
      </c>
      <c r="AE34" s="45">
        <v>5</v>
      </c>
      <c r="AF34" s="45">
        <v>5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15.4</v>
      </c>
      <c r="S35" s="45">
        <v>15.4</v>
      </c>
      <c r="T35" s="45">
        <v>15.4</v>
      </c>
      <c r="U35" s="45">
        <v>15.4</v>
      </c>
      <c r="V35" s="45">
        <v>15.4</v>
      </c>
      <c r="W35" s="45">
        <v>15.4</v>
      </c>
      <c r="X35" s="45">
        <v>15.4</v>
      </c>
      <c r="Y35" s="45">
        <v>15.4</v>
      </c>
      <c r="Z35" s="45">
        <v>15.4</v>
      </c>
      <c r="AA35" s="45">
        <v>15.4</v>
      </c>
      <c r="AB35" s="45">
        <v>15.4</v>
      </c>
      <c r="AC35" s="45">
        <v>15.4</v>
      </c>
      <c r="AD35" s="45">
        <v>15.4</v>
      </c>
      <c r="AE35" s="45">
        <v>15.4</v>
      </c>
      <c r="AF35" s="45">
        <v>15.4</v>
      </c>
      <c r="AG35" s="49">
        <v>14.9</v>
      </c>
      <c r="AH35" s="47">
        <f t="shared" si="2"/>
        <v>15.4</v>
      </c>
      <c r="AI35" s="48">
        <f t="shared" si="3"/>
        <v>15.4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3</v>
      </c>
      <c r="O39" s="45">
        <v>3</v>
      </c>
      <c r="P39" s="45">
        <v>3</v>
      </c>
      <c r="Q39" s="45">
        <v>3</v>
      </c>
      <c r="R39" s="45">
        <v>3</v>
      </c>
      <c r="S39" s="45">
        <v>3</v>
      </c>
      <c r="T39" s="45">
        <v>3</v>
      </c>
      <c r="U39" s="45">
        <v>8</v>
      </c>
      <c r="V39" s="45">
        <v>8</v>
      </c>
      <c r="W39" s="45">
        <v>8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9.6</v>
      </c>
      <c r="AD39" s="45">
        <v>4</v>
      </c>
      <c r="AE39" s="45">
        <v>3.6</v>
      </c>
      <c r="AF39" s="45">
        <v>3.6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8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9.5</v>
      </c>
      <c r="C45" s="45">
        <v>9.5</v>
      </c>
      <c r="D45" s="45">
        <v>9.5</v>
      </c>
      <c r="E45" s="45">
        <v>9.5</v>
      </c>
      <c r="F45" s="45">
        <v>9.5</v>
      </c>
      <c r="G45" s="45">
        <v>9.5</v>
      </c>
      <c r="H45" s="45">
        <v>9.5</v>
      </c>
      <c r="I45" s="45">
        <v>9.5</v>
      </c>
      <c r="J45" s="45">
        <v>9.5</v>
      </c>
      <c r="K45" s="45">
        <v>9.5</v>
      </c>
      <c r="L45" s="45">
        <v>9.5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9.5</v>
      </c>
      <c r="Z45" s="45">
        <v>9.5</v>
      </c>
      <c r="AA45" s="45">
        <v>9.5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54">
        <v>10</v>
      </c>
      <c r="AH45" s="47">
        <f t="shared" si="2"/>
        <v>9.5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128.6</v>
      </c>
      <c r="C49" s="56">
        <v>128.6</v>
      </c>
      <c r="D49" s="56">
        <v>128.6</v>
      </c>
      <c r="E49" s="56">
        <v>128.6</v>
      </c>
      <c r="F49" s="56">
        <v>128.6</v>
      </c>
      <c r="G49" s="56">
        <v>128.6</v>
      </c>
      <c r="H49" s="56">
        <v>128.6</v>
      </c>
      <c r="I49" s="56">
        <v>128.6</v>
      </c>
      <c r="J49" s="56">
        <v>128.6</v>
      </c>
      <c r="K49" s="56">
        <v>128.6</v>
      </c>
      <c r="L49" s="56">
        <v>128.6</v>
      </c>
      <c r="M49" s="56">
        <v>128.6</v>
      </c>
      <c r="N49" s="56">
        <v>128.6</v>
      </c>
      <c r="O49" s="56">
        <v>128.6</v>
      </c>
      <c r="P49" s="56">
        <v>128.6</v>
      </c>
      <c r="Q49" s="56">
        <v>128.6</v>
      </c>
      <c r="R49" s="56">
        <v>128.6</v>
      </c>
      <c r="S49" s="56">
        <v>128.6</v>
      </c>
      <c r="T49" s="56">
        <v>128.6</v>
      </c>
      <c r="U49" s="56">
        <v>122.4</v>
      </c>
      <c r="V49" s="56">
        <v>123.8</v>
      </c>
      <c r="W49" s="58">
        <v>122.4</v>
      </c>
      <c r="X49" s="58">
        <v>122.4</v>
      </c>
      <c r="Y49" s="56">
        <v>120</v>
      </c>
      <c r="Z49" s="56">
        <v>125.2</v>
      </c>
      <c r="AA49" s="56">
        <v>125.2</v>
      </c>
      <c r="AB49" s="56">
        <f>90.3+35.8</f>
        <v>126.1</v>
      </c>
      <c r="AC49" s="56">
        <f>90.8+36.2</f>
        <v>127</v>
      </c>
      <c r="AD49" s="56">
        <f>91.2+36.3</f>
        <v>127.5</v>
      </c>
      <c r="AE49" s="56">
        <f>36.5+91.8</f>
        <v>128.30000000000001</v>
      </c>
      <c r="AF49" s="56">
        <f>36.6+92.2</f>
        <v>128.80000000000001</v>
      </c>
      <c r="AG49" s="54">
        <v>240</v>
      </c>
      <c r="AH49" s="47">
        <f t="shared" si="2"/>
        <v>128.80000000000001</v>
      </c>
      <c r="AI49" s="48">
        <f t="shared" si="3"/>
        <v>120</v>
      </c>
      <c r="AK49" s="50"/>
    </row>
    <row r="50" spans="1:41" ht="15.75" thickBot="1" x14ac:dyDescent="0.3">
      <c r="A50" s="59" t="s">
        <v>58</v>
      </c>
      <c r="B50" s="60">
        <v>1106.2</v>
      </c>
      <c r="C50" s="60">
        <f t="shared" ref="C50:AD50" si="4">SUM(C11:C48)</f>
        <v>1091.2</v>
      </c>
      <c r="D50" s="60">
        <f t="shared" ref="D50:E50" si="5">SUM(D11:D48)</f>
        <v>1083.2</v>
      </c>
      <c r="E50" s="60">
        <f t="shared" si="5"/>
        <v>1083.2</v>
      </c>
      <c r="F50" s="60">
        <f t="shared" ref="F50:G50" si="6">SUM(F11:F48)</f>
        <v>1083.2</v>
      </c>
      <c r="G50" s="60">
        <f t="shared" si="6"/>
        <v>1083.2</v>
      </c>
      <c r="H50" s="60">
        <f t="shared" ref="H50:I50" si="7">SUM(H11:H48)</f>
        <v>1083.2</v>
      </c>
      <c r="I50" s="60">
        <f t="shared" si="7"/>
        <v>1088.2</v>
      </c>
      <c r="J50" s="60">
        <f t="shared" ref="J50:K50" si="8">SUM(J11:J48)</f>
        <v>1093.2</v>
      </c>
      <c r="K50" s="60">
        <f t="shared" si="8"/>
        <v>1093.2</v>
      </c>
      <c r="L50" s="60">
        <f t="shared" ref="L50" si="9">SUM(L11:L48)</f>
        <v>1165.3000000000002</v>
      </c>
      <c r="M50" s="60">
        <f t="shared" si="4"/>
        <v>1169.3000000000002</v>
      </c>
      <c r="N50" s="60">
        <f t="shared" si="4"/>
        <v>1119.2</v>
      </c>
      <c r="O50" s="60">
        <f t="shared" si="4"/>
        <v>1100.8000000000002</v>
      </c>
      <c r="P50" s="60">
        <f t="shared" si="4"/>
        <v>1100.8000000000002</v>
      </c>
      <c r="Q50" s="60">
        <f t="shared" si="4"/>
        <v>1113.8000000000002</v>
      </c>
      <c r="R50" s="60">
        <f t="shared" si="4"/>
        <v>1171.2</v>
      </c>
      <c r="S50" s="60">
        <f t="shared" si="4"/>
        <v>1156.5999999999999</v>
      </c>
      <c r="T50" s="60">
        <f t="shared" si="4"/>
        <v>1162.2</v>
      </c>
      <c r="U50" s="60">
        <f t="shared" si="4"/>
        <v>1176.2</v>
      </c>
      <c r="V50" s="60">
        <f t="shared" si="4"/>
        <v>1172.7</v>
      </c>
      <c r="W50" s="60">
        <f t="shared" si="4"/>
        <v>1154.5</v>
      </c>
      <c r="X50" s="60">
        <f t="shared" si="4"/>
        <v>1100.5</v>
      </c>
      <c r="Y50" s="60">
        <f t="shared" si="4"/>
        <v>1156.5</v>
      </c>
      <c r="Z50" s="60">
        <f t="shared" si="4"/>
        <v>1174.5</v>
      </c>
      <c r="AA50" s="60">
        <f t="shared" si="4"/>
        <v>1174.5</v>
      </c>
      <c r="AB50" s="60">
        <f t="shared" si="4"/>
        <v>1181.8000000000002</v>
      </c>
      <c r="AC50" s="60">
        <f t="shared" si="4"/>
        <v>1163.4000000000001</v>
      </c>
      <c r="AD50" s="60">
        <f t="shared" si="4"/>
        <v>1156.5</v>
      </c>
      <c r="AE50" s="60">
        <f t="shared" ref="AE50:AF50" si="10">SUM(AE11:AE48)</f>
        <v>1136.3000000000002</v>
      </c>
      <c r="AF50" s="60">
        <f t="shared" si="10"/>
        <v>1136.3000000000002</v>
      </c>
      <c r="AG50" s="61">
        <f>SUM(AG13:AG48)</f>
        <v>922.14</v>
      </c>
      <c r="AH50" s="47">
        <f t="shared" si="2"/>
        <v>1181.8000000000002</v>
      </c>
      <c r="AI50" s="48">
        <f t="shared" si="3"/>
        <v>1083.2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50</v>
      </c>
      <c r="N52" s="64">
        <v>50</v>
      </c>
      <c r="O52" s="64">
        <v>50</v>
      </c>
      <c r="P52" s="64">
        <v>50</v>
      </c>
      <c r="Q52" s="64">
        <v>50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v>528.5</v>
      </c>
      <c r="C54" s="60">
        <f t="shared" ref="C54:AG54" si="11">SUM(C51:C53)</f>
        <v>528.5</v>
      </c>
      <c r="D54" s="60">
        <f t="shared" ref="D54:E54" si="12">SUM(D51:D53)</f>
        <v>528.5</v>
      </c>
      <c r="E54" s="60">
        <f t="shared" si="12"/>
        <v>528.5</v>
      </c>
      <c r="F54" s="60">
        <f t="shared" ref="F54:G54" si="13">SUM(F51:F53)</f>
        <v>528.5</v>
      </c>
      <c r="G54" s="60">
        <f t="shared" si="13"/>
        <v>528.5</v>
      </c>
      <c r="H54" s="60">
        <f t="shared" ref="H54:I54" si="14">SUM(H51:H53)</f>
        <v>528.5</v>
      </c>
      <c r="I54" s="60">
        <f t="shared" si="14"/>
        <v>528.5</v>
      </c>
      <c r="J54" s="60">
        <f t="shared" ref="J54:K54" si="15">SUM(J51:J53)</f>
        <v>528.5</v>
      </c>
      <c r="K54" s="60">
        <f t="shared" si="15"/>
        <v>528.5</v>
      </c>
      <c r="L54" s="60">
        <f t="shared" ref="L54" si="16">SUM(L51:L53)</f>
        <v>528.5</v>
      </c>
      <c r="M54" s="60">
        <f t="shared" si="11"/>
        <v>528.5</v>
      </c>
      <c r="N54" s="60">
        <f t="shared" si="11"/>
        <v>528.5</v>
      </c>
      <c r="O54" s="60">
        <f t="shared" si="11"/>
        <v>528.5</v>
      </c>
      <c r="P54" s="60">
        <f t="shared" si="11"/>
        <v>528.5</v>
      </c>
      <c r="Q54" s="60">
        <f t="shared" si="11"/>
        <v>528.5</v>
      </c>
      <c r="R54" s="60">
        <f t="shared" si="11"/>
        <v>538.5</v>
      </c>
      <c r="S54" s="60">
        <f t="shared" si="11"/>
        <v>538.5</v>
      </c>
      <c r="T54" s="60">
        <f t="shared" si="11"/>
        <v>538.5</v>
      </c>
      <c r="U54" s="60">
        <f t="shared" si="11"/>
        <v>538.5</v>
      </c>
      <c r="V54" s="60">
        <f t="shared" si="11"/>
        <v>538.5</v>
      </c>
      <c r="W54" s="60">
        <f t="shared" si="11"/>
        <v>538.5</v>
      </c>
      <c r="X54" s="60">
        <f t="shared" si="11"/>
        <v>538.5</v>
      </c>
      <c r="Y54" s="60">
        <f t="shared" si="11"/>
        <v>538.5</v>
      </c>
      <c r="Z54" s="60">
        <f t="shared" si="11"/>
        <v>538.5</v>
      </c>
      <c r="AA54" s="60">
        <f t="shared" si="11"/>
        <v>538.5</v>
      </c>
      <c r="AB54" s="60">
        <f t="shared" si="11"/>
        <v>538.5</v>
      </c>
      <c r="AC54" s="60">
        <f t="shared" si="11"/>
        <v>538.5</v>
      </c>
      <c r="AD54" s="60">
        <f t="shared" si="11"/>
        <v>538.5</v>
      </c>
      <c r="AE54" s="60">
        <f t="shared" ref="AE54" si="17">SUM(AE51:AE53)</f>
        <v>538.4</v>
      </c>
      <c r="AF54" s="60">
        <f t="shared" si="11"/>
        <v>538.4</v>
      </c>
      <c r="AG54" s="61">
        <f t="shared" si="11"/>
        <v>538.1</v>
      </c>
      <c r="AH54" s="47">
        <f t="shared" si="2"/>
        <v>538.5</v>
      </c>
      <c r="AI54" s="48">
        <f t="shared" si="3"/>
        <v>528.5</v>
      </c>
      <c r="AK54" s="50"/>
    </row>
    <row r="55" spans="1:41" x14ac:dyDescent="0.25">
      <c r="A55" s="44" t="s">
        <v>63</v>
      </c>
      <c r="B55" s="45">
        <v>143.1</v>
      </c>
      <c r="C55" s="45">
        <v>143.1</v>
      </c>
      <c r="D55" s="45">
        <v>143.1</v>
      </c>
      <c r="E55" s="45">
        <v>143.1</v>
      </c>
      <c r="F55" s="45">
        <v>143.1</v>
      </c>
      <c r="G55" s="45">
        <v>143.1</v>
      </c>
      <c r="H55" s="45">
        <v>143.1</v>
      </c>
      <c r="I55" s="45">
        <v>143.1</v>
      </c>
      <c r="J55" s="45">
        <v>143.1</v>
      </c>
      <c r="K55" s="45">
        <v>143.1</v>
      </c>
      <c r="L55" s="45">
        <v>143.1</v>
      </c>
      <c r="M55" s="45">
        <v>143.1</v>
      </c>
      <c r="N55" s="45">
        <v>143.1</v>
      </c>
      <c r="O55" s="45">
        <v>130</v>
      </c>
      <c r="P55" s="45">
        <v>130</v>
      </c>
      <c r="Q55" s="45">
        <v>130</v>
      </c>
      <c r="R55" s="45">
        <v>141</v>
      </c>
      <c r="S55" s="45">
        <v>141</v>
      </c>
      <c r="T55" s="45">
        <v>141</v>
      </c>
      <c r="U55" s="45">
        <v>141</v>
      </c>
      <c r="V55" s="45">
        <v>141</v>
      </c>
      <c r="W55" s="45">
        <v>141</v>
      </c>
      <c r="X55" s="45">
        <v>141</v>
      </c>
      <c r="Y55" s="45">
        <v>141</v>
      </c>
      <c r="Z55" s="45">
        <v>141</v>
      </c>
      <c r="AA55" s="45">
        <v>141</v>
      </c>
      <c r="AB55" s="45">
        <v>141</v>
      </c>
      <c r="AC55" s="45">
        <v>141</v>
      </c>
      <c r="AD55" s="45">
        <v>141</v>
      </c>
      <c r="AE55" s="45">
        <v>144</v>
      </c>
      <c r="AF55" s="45">
        <v>144</v>
      </c>
      <c r="AG55" s="51">
        <v>144</v>
      </c>
      <c r="AH55" s="47">
        <f t="shared" si="2"/>
        <v>144</v>
      </c>
      <c r="AI55" s="48">
        <f t="shared" si="3"/>
        <v>130</v>
      </c>
      <c r="AK55" s="50"/>
    </row>
    <row r="56" spans="1:41" x14ac:dyDescent="0.25">
      <c r="A56" s="53" t="s">
        <v>64</v>
      </c>
      <c r="B56" s="64">
        <v>60</v>
      </c>
      <c r="C56" s="64">
        <v>60</v>
      </c>
      <c r="D56" s="64">
        <v>60</v>
      </c>
      <c r="E56" s="64">
        <v>67.400000000000006</v>
      </c>
      <c r="F56" s="64">
        <v>67.400000000000006</v>
      </c>
      <c r="G56" s="64">
        <v>68</v>
      </c>
      <c r="H56" s="64">
        <v>68</v>
      </c>
      <c r="I56" s="64">
        <v>70</v>
      </c>
      <c r="J56" s="64">
        <v>70</v>
      </c>
      <c r="K56" s="64">
        <v>70</v>
      </c>
      <c r="L56" s="64">
        <v>70</v>
      </c>
      <c r="M56" s="64">
        <v>70</v>
      </c>
      <c r="N56" s="64">
        <v>70</v>
      </c>
      <c r="O56" s="64">
        <v>60</v>
      </c>
      <c r="P56" s="64">
        <v>60.5</v>
      </c>
      <c r="Q56" s="64">
        <v>60.5</v>
      </c>
      <c r="R56" s="64">
        <v>70.900000000000006</v>
      </c>
      <c r="S56" s="64">
        <v>70.900000000000006</v>
      </c>
      <c r="T56" s="64">
        <v>70.900000000000006</v>
      </c>
      <c r="U56" s="64">
        <v>70.900000000000006</v>
      </c>
      <c r="V56" s="64">
        <v>70.900000000000006</v>
      </c>
      <c r="W56" s="64">
        <v>70.900000000000006</v>
      </c>
      <c r="X56" s="64">
        <v>70.900000000000006</v>
      </c>
      <c r="Y56" s="64">
        <v>70.900000000000006</v>
      </c>
      <c r="Z56" s="64">
        <v>70.900000000000006</v>
      </c>
      <c r="AA56" s="64">
        <v>70.900000000000006</v>
      </c>
      <c r="AB56" s="64">
        <v>70.900000000000006</v>
      </c>
      <c r="AC56" s="64">
        <v>70.900000000000006</v>
      </c>
      <c r="AD56" s="64">
        <v>70.900000000000006</v>
      </c>
      <c r="AE56" s="64">
        <v>69.900000000000006</v>
      </c>
      <c r="AF56" s="64">
        <v>71.2</v>
      </c>
      <c r="AG56" s="54">
        <v>70</v>
      </c>
      <c r="AH56" s="47">
        <f t="shared" si="2"/>
        <v>71.2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65</v>
      </c>
      <c r="C57" s="64">
        <v>65</v>
      </c>
      <c r="D57" s="64">
        <v>65</v>
      </c>
      <c r="E57" s="64">
        <v>65</v>
      </c>
      <c r="F57" s="64">
        <v>65</v>
      </c>
      <c r="G57" s="64">
        <v>65</v>
      </c>
      <c r="H57" s="64">
        <v>61</v>
      </c>
      <c r="I57" s="64">
        <v>65.7</v>
      </c>
      <c r="J57" s="64">
        <v>65.7</v>
      </c>
      <c r="K57" s="64">
        <v>65.7</v>
      </c>
      <c r="L57" s="64">
        <v>65.7</v>
      </c>
      <c r="M57" s="64">
        <v>65.7</v>
      </c>
      <c r="N57" s="64">
        <v>65.7</v>
      </c>
      <c r="O57" s="64">
        <v>65.7</v>
      </c>
      <c r="P57" s="64">
        <v>54</v>
      </c>
      <c r="Q57" s="64">
        <v>54</v>
      </c>
      <c r="R57" s="64">
        <v>66</v>
      </c>
      <c r="S57" s="64">
        <v>66</v>
      </c>
      <c r="T57" s="64">
        <v>66</v>
      </c>
      <c r="U57" s="64">
        <v>66</v>
      </c>
      <c r="V57" s="64">
        <v>66</v>
      </c>
      <c r="W57" s="64">
        <v>66</v>
      </c>
      <c r="X57" s="64">
        <v>66</v>
      </c>
      <c r="Y57" s="64">
        <v>66</v>
      </c>
      <c r="Z57" s="64">
        <v>66</v>
      </c>
      <c r="AA57" s="64">
        <v>66</v>
      </c>
      <c r="AB57" s="64">
        <v>66</v>
      </c>
      <c r="AC57" s="64">
        <v>66</v>
      </c>
      <c r="AD57" s="64">
        <v>66</v>
      </c>
      <c r="AE57" s="64">
        <v>64.5</v>
      </c>
      <c r="AF57" s="64">
        <v>65</v>
      </c>
      <c r="AG57" s="54">
        <v>69</v>
      </c>
      <c r="AH57" s="47">
        <f t="shared" si="2"/>
        <v>66</v>
      </c>
      <c r="AI57" s="48">
        <f t="shared" si="3"/>
        <v>54</v>
      </c>
      <c r="AK57" s="50"/>
    </row>
    <row r="58" spans="1:41" x14ac:dyDescent="0.25">
      <c r="A58" s="53" t="s">
        <v>66</v>
      </c>
      <c r="B58" s="64">
        <v>61</v>
      </c>
      <c r="C58" s="64">
        <v>61</v>
      </c>
      <c r="D58" s="64">
        <v>57.4</v>
      </c>
      <c r="E58" s="64">
        <v>57.4</v>
      </c>
      <c r="F58" s="64">
        <v>57.4</v>
      </c>
      <c r="G58" s="64">
        <v>56</v>
      </c>
      <c r="H58" s="64">
        <v>50.9</v>
      </c>
      <c r="I58" s="64">
        <v>60.1</v>
      </c>
      <c r="J58" s="64">
        <v>59.8</v>
      </c>
      <c r="K58" s="64">
        <v>60.4</v>
      </c>
      <c r="L58" s="64">
        <v>60.4</v>
      </c>
      <c r="M58" s="64">
        <v>60.4</v>
      </c>
      <c r="N58" s="64">
        <v>60.4</v>
      </c>
      <c r="O58" s="64">
        <v>60.4</v>
      </c>
      <c r="P58" s="64">
        <v>50</v>
      </c>
      <c r="Q58" s="64">
        <v>50</v>
      </c>
      <c r="R58" s="64">
        <v>58.7</v>
      </c>
      <c r="S58" s="64">
        <v>58.7</v>
      </c>
      <c r="T58" s="64">
        <v>58.7</v>
      </c>
      <c r="U58" s="64">
        <v>58.7</v>
      </c>
      <c r="V58" s="64">
        <v>60.4</v>
      </c>
      <c r="W58" s="64">
        <v>60.4</v>
      </c>
      <c r="X58" s="64">
        <v>60.4</v>
      </c>
      <c r="Y58" s="64">
        <v>60.4</v>
      </c>
      <c r="Z58" s="64">
        <v>60.4</v>
      </c>
      <c r="AA58" s="64">
        <v>60.4</v>
      </c>
      <c r="AB58" s="64">
        <v>41.6</v>
      </c>
      <c r="AC58" s="64">
        <v>50</v>
      </c>
      <c r="AD58" s="64">
        <v>62.5</v>
      </c>
      <c r="AE58" s="64">
        <v>60.2</v>
      </c>
      <c r="AF58" s="64">
        <v>59.8</v>
      </c>
      <c r="AG58" s="54">
        <v>60</v>
      </c>
      <c r="AH58" s="47">
        <f t="shared" si="2"/>
        <v>62.5</v>
      </c>
      <c r="AI58" s="48">
        <f t="shared" si="3"/>
        <v>41.6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64">
        <v>29</v>
      </c>
      <c r="AC59" s="64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29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2</v>
      </c>
      <c r="N60" s="64">
        <v>5</v>
      </c>
      <c r="O60" s="64">
        <v>8.3000000000000007</v>
      </c>
      <c r="P60" s="64">
        <v>14.2</v>
      </c>
      <c r="Q60" s="64">
        <v>12.9</v>
      </c>
      <c r="R60" s="64">
        <v>9.8000000000000007</v>
      </c>
      <c r="S60" s="64">
        <v>9.8000000000000007</v>
      </c>
      <c r="T60" s="64">
        <v>9.8000000000000007</v>
      </c>
      <c r="U60" s="64">
        <v>5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14.2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15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5</v>
      </c>
      <c r="N62" s="64">
        <v>5</v>
      </c>
      <c r="O62" s="64">
        <v>5</v>
      </c>
      <c r="P62" s="64">
        <v>5</v>
      </c>
      <c r="Q62" s="64">
        <v>0</v>
      </c>
      <c r="R62" s="64">
        <v>0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8.8000000000000007</v>
      </c>
      <c r="C63" s="64">
        <v>8.8000000000000007</v>
      </c>
      <c r="D63" s="64">
        <v>8.8000000000000007</v>
      </c>
      <c r="E63" s="64">
        <v>8.8000000000000007</v>
      </c>
      <c r="F63" s="64">
        <v>8.8000000000000007</v>
      </c>
      <c r="G63" s="64">
        <v>8.8000000000000007</v>
      </c>
      <c r="H63" s="64">
        <v>8.8000000000000007</v>
      </c>
      <c r="I63" s="64">
        <v>8.8000000000000007</v>
      </c>
      <c r="J63" s="64">
        <v>8.8000000000000007</v>
      </c>
      <c r="K63" s="64">
        <v>8.8000000000000007</v>
      </c>
      <c r="L63" s="64">
        <v>8.8000000000000007</v>
      </c>
      <c r="M63" s="64">
        <v>10.199999999999999</v>
      </c>
      <c r="N63" s="64">
        <v>10.199999999999999</v>
      </c>
      <c r="O63" s="64">
        <v>10.199999999999999</v>
      </c>
      <c r="P63" s="64">
        <v>10.4</v>
      </c>
      <c r="Q63" s="64">
        <v>10.4</v>
      </c>
      <c r="R63" s="64">
        <v>10.4</v>
      </c>
      <c r="S63" s="64">
        <v>10.4</v>
      </c>
      <c r="T63" s="64">
        <v>10.4</v>
      </c>
      <c r="U63" s="64">
        <v>10.4</v>
      </c>
      <c r="V63" s="64">
        <v>10.4</v>
      </c>
      <c r="W63" s="64">
        <v>10.4</v>
      </c>
      <c r="X63" s="64">
        <v>10.4</v>
      </c>
      <c r="Y63" s="64">
        <v>10.4</v>
      </c>
      <c r="Z63" s="64">
        <v>11.5</v>
      </c>
      <c r="AA63" s="64">
        <v>11.5</v>
      </c>
      <c r="AB63" s="64">
        <v>11.6</v>
      </c>
      <c r="AC63" s="64">
        <v>11.6</v>
      </c>
      <c r="AD63" s="64">
        <v>11.6</v>
      </c>
      <c r="AE63" s="64">
        <v>11.4</v>
      </c>
      <c r="AF63" s="64">
        <v>11.4</v>
      </c>
      <c r="AG63" s="54">
        <v>14.1</v>
      </c>
      <c r="AH63" s="47">
        <f t="shared" si="2"/>
        <v>11.6</v>
      </c>
      <c r="AI63" s="48">
        <f t="shared" si="3"/>
        <v>8.8000000000000007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14</v>
      </c>
      <c r="F64" s="64">
        <v>14</v>
      </c>
      <c r="G64" s="64">
        <v>14</v>
      </c>
      <c r="H64" s="64">
        <v>14</v>
      </c>
      <c r="I64" s="64">
        <v>14</v>
      </c>
      <c r="J64" s="64">
        <v>14</v>
      </c>
      <c r="K64" s="64">
        <v>14</v>
      </c>
      <c r="L64" s="64">
        <v>14</v>
      </c>
      <c r="M64" s="64">
        <v>14</v>
      </c>
      <c r="N64" s="64">
        <v>14</v>
      </c>
      <c r="O64" s="64">
        <v>14</v>
      </c>
      <c r="P64" s="64">
        <v>10.9</v>
      </c>
      <c r="Q64" s="64">
        <v>10.9</v>
      </c>
      <c r="R64" s="64">
        <v>10.9</v>
      </c>
      <c r="S64" s="64">
        <v>10.9</v>
      </c>
      <c r="T64" s="64">
        <v>10.9</v>
      </c>
      <c r="U64" s="64">
        <v>10.9</v>
      </c>
      <c r="V64" s="64">
        <v>11.6</v>
      </c>
      <c r="W64" s="64">
        <v>11.6</v>
      </c>
      <c r="X64" s="64">
        <v>0</v>
      </c>
      <c r="Y64" s="64">
        <v>13.8</v>
      </c>
      <c r="Z64" s="64">
        <v>13.8</v>
      </c>
      <c r="AA64" s="64">
        <v>13.8</v>
      </c>
      <c r="AB64" s="64">
        <v>0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14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411.84000000000003</v>
      </c>
      <c r="C68" s="60">
        <f t="shared" ref="C68:AG68" si="18">SUM(C55:C67)</f>
        <v>414.84000000000003</v>
      </c>
      <c r="D68" s="60">
        <f t="shared" ref="D68:E68" si="19">SUM(D55:D67)</f>
        <v>411.24</v>
      </c>
      <c r="E68" s="60">
        <f t="shared" si="19"/>
        <v>418.64</v>
      </c>
      <c r="F68" s="60">
        <f t="shared" ref="F68:G68" si="20">SUM(F55:F67)</f>
        <v>418.64</v>
      </c>
      <c r="G68" s="60">
        <f t="shared" si="20"/>
        <v>417.84000000000003</v>
      </c>
      <c r="H68" s="60">
        <f t="shared" ref="H68:I68" si="21">SUM(H55:H67)</f>
        <v>408.74</v>
      </c>
      <c r="I68" s="60">
        <f t="shared" si="21"/>
        <v>424.64000000000004</v>
      </c>
      <c r="J68" s="60">
        <f t="shared" ref="J68:K68" si="22">SUM(J55:J67)</f>
        <v>424.34000000000003</v>
      </c>
      <c r="K68" s="60">
        <f t="shared" si="22"/>
        <v>424.94</v>
      </c>
      <c r="L68" s="60">
        <f t="shared" ref="L68" si="23">SUM(L55:L67)</f>
        <v>424.94</v>
      </c>
      <c r="M68" s="60">
        <f t="shared" si="18"/>
        <v>433.34</v>
      </c>
      <c r="N68" s="60">
        <f t="shared" si="18"/>
        <v>436.34</v>
      </c>
      <c r="O68" s="60">
        <f t="shared" si="18"/>
        <v>416.53999999999996</v>
      </c>
      <c r="P68" s="60">
        <f t="shared" si="18"/>
        <v>396.93999999999994</v>
      </c>
      <c r="Q68" s="60">
        <f t="shared" si="18"/>
        <v>390.63999999999993</v>
      </c>
      <c r="R68" s="60">
        <f t="shared" si="18"/>
        <v>429.63999999999993</v>
      </c>
      <c r="S68" s="60">
        <f t="shared" si="18"/>
        <v>434.83999999999992</v>
      </c>
      <c r="T68" s="60">
        <f t="shared" si="18"/>
        <v>434.83999999999992</v>
      </c>
      <c r="U68" s="60">
        <f t="shared" si="18"/>
        <v>430.03999999999991</v>
      </c>
      <c r="V68" s="60">
        <f t="shared" si="18"/>
        <v>427.43999999999994</v>
      </c>
      <c r="W68" s="60">
        <f t="shared" si="18"/>
        <v>427.43999999999994</v>
      </c>
      <c r="X68" s="60">
        <f t="shared" si="18"/>
        <v>415.83999999999992</v>
      </c>
      <c r="Y68" s="60">
        <f t="shared" si="18"/>
        <v>429.63999999999993</v>
      </c>
      <c r="Z68" s="60">
        <f t="shared" si="18"/>
        <v>430.73999999999995</v>
      </c>
      <c r="AA68" s="60">
        <f t="shared" si="18"/>
        <v>430.73999999999995</v>
      </c>
      <c r="AB68" s="60">
        <f t="shared" si="18"/>
        <v>398.24</v>
      </c>
      <c r="AC68" s="60">
        <f t="shared" si="18"/>
        <v>420.53999999999996</v>
      </c>
      <c r="AD68" s="60">
        <f t="shared" si="18"/>
        <v>433.03999999999996</v>
      </c>
      <c r="AE68" s="60">
        <f t="shared" ref="AE68:AF68" si="24">SUM(AE55:AE67)</f>
        <v>431.03999999999991</v>
      </c>
      <c r="AF68" s="60">
        <f t="shared" si="24"/>
        <v>432.43999999999994</v>
      </c>
      <c r="AG68" s="61">
        <f t="shared" si="18"/>
        <v>489.91</v>
      </c>
      <c r="AH68" s="47">
        <f t="shared" si="2"/>
        <v>436.34</v>
      </c>
      <c r="AI68" s="48">
        <f t="shared" si="3"/>
        <v>390.63999999999993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10</v>
      </c>
      <c r="Q69" s="45">
        <v>10</v>
      </c>
      <c r="R69" s="45">
        <v>0</v>
      </c>
      <c r="S69" s="45"/>
      <c r="T69" s="45"/>
      <c r="U69" s="45"/>
      <c r="V69" s="45"/>
      <c r="W69" s="45"/>
      <c r="X69" s="45"/>
      <c r="Y69" s="45">
        <v>40</v>
      </c>
      <c r="Z69" s="45">
        <v>40</v>
      </c>
      <c r="AA69" s="45">
        <v>20</v>
      </c>
      <c r="AB69" s="45">
        <v>20</v>
      </c>
      <c r="AC69" s="45">
        <v>10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40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64">
        <v>0</v>
      </c>
      <c r="N70" s="64">
        <v>0</v>
      </c>
      <c r="O70" s="64">
        <v>0</v>
      </c>
      <c r="P70" s="64">
        <v>5.9</v>
      </c>
      <c r="Q70" s="64">
        <v>4.9000000000000004</v>
      </c>
      <c r="R70" s="64">
        <v>0</v>
      </c>
      <c r="S70" s="64"/>
      <c r="T70" s="64"/>
      <c r="U70" s="64"/>
      <c r="V70" s="64">
        <v>5</v>
      </c>
      <c r="W70" s="64"/>
      <c r="X70" s="64"/>
      <c r="Y70" s="64">
        <v>16</v>
      </c>
      <c r="Z70" s="64">
        <v>19</v>
      </c>
      <c r="AA70" s="64">
        <v>15</v>
      </c>
      <c r="AB70" s="64">
        <v>8</v>
      </c>
      <c r="AC70" s="64">
        <v>8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19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66">
        <v>0</v>
      </c>
      <c r="N71" s="66">
        <v>0</v>
      </c>
      <c r="O71" s="66">
        <v>0</v>
      </c>
      <c r="P71" s="66">
        <v>2.1</v>
      </c>
      <c r="Q71" s="66">
        <v>1.8</v>
      </c>
      <c r="R71" s="66">
        <v>0</v>
      </c>
      <c r="S71" s="66"/>
      <c r="T71" s="66"/>
      <c r="U71" s="66"/>
      <c r="V71" s="66">
        <v>1.8</v>
      </c>
      <c r="W71" s="66"/>
      <c r="X71" s="66"/>
      <c r="Y71" s="66">
        <v>5.8</v>
      </c>
      <c r="Z71" s="66">
        <v>6.8</v>
      </c>
      <c r="AA71" s="66">
        <v>5.6</v>
      </c>
      <c r="AB71" s="66">
        <v>2.9</v>
      </c>
      <c r="AC71" s="66">
        <v>2.9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6.8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F72" si="25">M69+M70+M71</f>
        <v>0</v>
      </c>
      <c r="N72" s="60">
        <f t="shared" si="25"/>
        <v>0</v>
      </c>
      <c r="O72" s="60">
        <f t="shared" si="25"/>
        <v>0</v>
      </c>
      <c r="P72" s="60">
        <f t="shared" si="25"/>
        <v>18</v>
      </c>
      <c r="Q72" s="60">
        <f t="shared" si="25"/>
        <v>16.7</v>
      </c>
      <c r="R72" s="60">
        <f t="shared" si="25"/>
        <v>0</v>
      </c>
      <c r="S72" s="60">
        <f t="shared" si="25"/>
        <v>0</v>
      </c>
      <c r="T72" s="60">
        <f t="shared" si="25"/>
        <v>0</v>
      </c>
      <c r="U72" s="60">
        <f t="shared" si="25"/>
        <v>0</v>
      </c>
      <c r="V72" s="60">
        <f t="shared" si="25"/>
        <v>6.8</v>
      </c>
      <c r="W72" s="60">
        <f t="shared" si="25"/>
        <v>0</v>
      </c>
      <c r="X72" s="60">
        <f t="shared" si="25"/>
        <v>0</v>
      </c>
      <c r="Y72" s="60">
        <f t="shared" si="25"/>
        <v>61.8</v>
      </c>
      <c r="Z72" s="60">
        <f t="shared" si="25"/>
        <v>65.8</v>
      </c>
      <c r="AA72" s="60">
        <f t="shared" si="25"/>
        <v>40.6</v>
      </c>
      <c r="AB72" s="60">
        <f t="shared" si="25"/>
        <v>30.9</v>
      </c>
      <c r="AC72" s="60">
        <f t="shared" si="25"/>
        <v>20.9</v>
      </c>
      <c r="AD72" s="60">
        <f t="shared" si="25"/>
        <v>0</v>
      </c>
      <c r="AE72" s="60">
        <f t="shared" si="25"/>
        <v>0</v>
      </c>
      <c r="AF72" s="60">
        <f t="shared" si="25"/>
        <v>0</v>
      </c>
      <c r="AG72" s="61">
        <f>SUM(AG69:AG71)</f>
        <v>106</v>
      </c>
      <c r="AH72" s="47">
        <f t="shared" si="2"/>
        <v>65.8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-65</v>
      </c>
      <c r="C73" s="45">
        <v>-67.8</v>
      </c>
      <c r="D73" s="45">
        <v>-70.5</v>
      </c>
      <c r="E73" s="45">
        <v>-72.3</v>
      </c>
      <c r="F73" s="45">
        <v>-69.2</v>
      </c>
      <c r="G73" s="45">
        <v>-57.1</v>
      </c>
      <c r="H73" s="45">
        <v>-53</v>
      </c>
      <c r="I73" s="45">
        <v>-59.3</v>
      </c>
      <c r="J73" s="45">
        <v>-56.9</v>
      </c>
      <c r="K73" s="45">
        <v>-72.3</v>
      </c>
      <c r="L73" s="45">
        <v>-74.099999999999994</v>
      </c>
      <c r="M73" s="45">
        <v>-56.6</v>
      </c>
      <c r="N73" s="45">
        <v>-53.8</v>
      </c>
      <c r="O73" s="45">
        <v>-44.5</v>
      </c>
      <c r="P73" s="45">
        <v>-41.9</v>
      </c>
      <c r="Q73" s="45">
        <v>-37.4</v>
      </c>
      <c r="R73" s="45">
        <v>-54</v>
      </c>
      <c r="S73" s="45">
        <v>-52</v>
      </c>
      <c r="T73" s="45">
        <v>-53</v>
      </c>
      <c r="U73" s="45">
        <v>-53.3</v>
      </c>
      <c r="V73" s="45">
        <v>-54.4</v>
      </c>
      <c r="W73" s="45">
        <v>-53.3</v>
      </c>
      <c r="X73" s="45">
        <v>-52.6</v>
      </c>
      <c r="Y73" s="45">
        <v>-26</v>
      </c>
      <c r="Z73" s="45">
        <v>-37</v>
      </c>
      <c r="AA73" s="45">
        <v>-37</v>
      </c>
      <c r="AB73" s="45">
        <v>-1</v>
      </c>
      <c r="AC73" s="45">
        <v>-1.7</v>
      </c>
      <c r="AD73" s="45">
        <v>-32</v>
      </c>
      <c r="AE73" s="45">
        <v>-33.700000000000003</v>
      </c>
      <c r="AF73" s="45">
        <v>-37.1</v>
      </c>
      <c r="AG73" s="51"/>
      <c r="AH73" s="47">
        <f t="shared" si="2"/>
        <v>-1</v>
      </c>
      <c r="AI73" s="48">
        <f t="shared" si="3"/>
        <v>-74.099999999999994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-350</v>
      </c>
      <c r="C75" s="64">
        <v>-333.9</v>
      </c>
      <c r="D75" s="64">
        <v>-350</v>
      </c>
      <c r="E75" s="64">
        <v>-366.7</v>
      </c>
      <c r="F75" s="64">
        <v>-366.7</v>
      </c>
      <c r="G75" s="64">
        <v>-370.1</v>
      </c>
      <c r="H75" s="64">
        <v>-432.8</v>
      </c>
      <c r="I75" s="64">
        <v>-440.3</v>
      </c>
      <c r="J75" s="64">
        <v>-440.3</v>
      </c>
      <c r="K75" s="64">
        <v>-345.6</v>
      </c>
      <c r="L75" s="64">
        <v>-364</v>
      </c>
      <c r="M75" s="64">
        <v>-387</v>
      </c>
      <c r="N75" s="64">
        <v>-367</v>
      </c>
      <c r="O75" s="64">
        <v>-359.7</v>
      </c>
      <c r="P75" s="64">
        <v>-320</v>
      </c>
      <c r="Q75" s="64">
        <v>-313.8</v>
      </c>
      <c r="R75" s="64">
        <v>-452</v>
      </c>
      <c r="S75" s="64">
        <v>-396</v>
      </c>
      <c r="T75" s="64">
        <v>-398</v>
      </c>
      <c r="U75" s="64">
        <v>-440</v>
      </c>
      <c r="V75" s="64">
        <v>-440.3</v>
      </c>
      <c r="W75" s="64">
        <v>-435</v>
      </c>
      <c r="X75" s="64">
        <v>-333</v>
      </c>
      <c r="Y75" s="64">
        <v>-352</v>
      </c>
      <c r="Z75" s="64">
        <v>-392</v>
      </c>
      <c r="AA75" s="64">
        <v>-392</v>
      </c>
      <c r="AB75" s="64">
        <v>-365</v>
      </c>
      <c r="AC75" s="64">
        <v>-366</v>
      </c>
      <c r="AD75" s="64">
        <v>-315.8</v>
      </c>
      <c r="AE75" s="64">
        <v>-335.8</v>
      </c>
      <c r="AF75" s="64">
        <v>-320</v>
      </c>
      <c r="AG75" s="74"/>
      <c r="AH75" s="47">
        <f t="shared" si="2"/>
        <v>-313.8</v>
      </c>
      <c r="AI75" s="48">
        <f t="shared" si="3"/>
        <v>-452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26">MAX(B77:AF77)</f>
        <v>0</v>
      </c>
      <c r="AI77" s="48">
        <f t="shared" ref="AI77:AI120" si="27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26"/>
        <v>0</v>
      </c>
      <c r="AI78" s="48">
        <f t="shared" si="27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26"/>
        <v>0</v>
      </c>
      <c r="AI79" s="48">
        <f t="shared" si="27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26"/>
        <v>0</v>
      </c>
      <c r="AI80" s="48">
        <f t="shared" si="27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26"/>
        <v>0</v>
      </c>
      <c r="AI81" s="48">
        <f t="shared" si="27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26"/>
        <v>0</v>
      </c>
      <c r="AI82" s="48">
        <f t="shared" si="27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26"/>
        <v>0</v>
      </c>
      <c r="AI83" s="48">
        <f t="shared" si="27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f t="shared" ref="C84:AF84" si="28">SUMIF(C73:C83,"&gt;0")</f>
        <v>0</v>
      </c>
      <c r="D84" s="60">
        <f t="shared" ref="D84:E84" si="29">SUMIF(D73:D83,"&gt;0")</f>
        <v>0</v>
      </c>
      <c r="E84" s="60">
        <f t="shared" si="29"/>
        <v>0</v>
      </c>
      <c r="F84" s="60">
        <f t="shared" ref="F84:G84" si="30">SUMIF(F73:F83,"&gt;0")</f>
        <v>0</v>
      </c>
      <c r="G84" s="60">
        <f t="shared" si="30"/>
        <v>0</v>
      </c>
      <c r="H84" s="60">
        <f t="shared" ref="H84:I84" si="31">SUMIF(H73:H83,"&gt;0")</f>
        <v>0</v>
      </c>
      <c r="I84" s="60">
        <f t="shared" si="31"/>
        <v>0</v>
      </c>
      <c r="J84" s="60">
        <f t="shared" ref="J84:K84" si="32">SUMIF(J73:J83,"&gt;0")</f>
        <v>0</v>
      </c>
      <c r="K84" s="60">
        <f t="shared" si="32"/>
        <v>0</v>
      </c>
      <c r="L84" s="60">
        <f t="shared" ref="L84" si="33">SUMIF(L73:L83,"&gt;0")</f>
        <v>0</v>
      </c>
      <c r="M84" s="60">
        <f t="shared" si="28"/>
        <v>0</v>
      </c>
      <c r="N84" s="60">
        <f t="shared" si="28"/>
        <v>0</v>
      </c>
      <c r="O84" s="60">
        <f t="shared" si="28"/>
        <v>0</v>
      </c>
      <c r="P84" s="60">
        <f t="shared" si="28"/>
        <v>0</v>
      </c>
      <c r="Q84" s="60">
        <f t="shared" si="28"/>
        <v>0</v>
      </c>
      <c r="R84" s="60">
        <f t="shared" si="28"/>
        <v>0</v>
      </c>
      <c r="S84" s="60">
        <f t="shared" si="28"/>
        <v>0</v>
      </c>
      <c r="T84" s="60">
        <f t="shared" si="28"/>
        <v>0</v>
      </c>
      <c r="U84" s="60">
        <f t="shared" si="28"/>
        <v>0</v>
      </c>
      <c r="V84" s="60">
        <f t="shared" si="28"/>
        <v>0</v>
      </c>
      <c r="W84" s="60">
        <f t="shared" si="28"/>
        <v>0</v>
      </c>
      <c r="X84" s="60">
        <f t="shared" si="28"/>
        <v>0</v>
      </c>
      <c r="Y84" s="60">
        <f t="shared" si="28"/>
        <v>0</v>
      </c>
      <c r="Z84" s="60">
        <f t="shared" si="28"/>
        <v>0</v>
      </c>
      <c r="AA84" s="60">
        <f t="shared" si="28"/>
        <v>0</v>
      </c>
      <c r="AB84" s="60">
        <f t="shared" si="28"/>
        <v>0</v>
      </c>
      <c r="AC84" s="60">
        <f t="shared" si="28"/>
        <v>0</v>
      </c>
      <c r="AD84" s="60">
        <f t="shared" si="28"/>
        <v>0</v>
      </c>
      <c r="AE84" s="60">
        <f t="shared" si="28"/>
        <v>0</v>
      </c>
      <c r="AF84" s="60">
        <f t="shared" si="28"/>
        <v>0</v>
      </c>
      <c r="AG84" s="87">
        <f>SUM(AG73:AG83)</f>
        <v>0</v>
      </c>
      <c r="AH84" s="47">
        <f t="shared" si="26"/>
        <v>0</v>
      </c>
      <c r="AI84" s="48">
        <f t="shared" si="27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6"/>
        <v>0</v>
      </c>
      <c r="AI85" s="48">
        <f t="shared" si="27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6"/>
        <v>0</v>
      </c>
      <c r="AI86" s="48">
        <f t="shared" si="27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6"/>
        <v>0</v>
      </c>
      <c r="AI87" s="48">
        <f t="shared" si="27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6"/>
        <v>0</v>
      </c>
      <c r="AI88" s="48">
        <f t="shared" si="27"/>
        <v>0</v>
      </c>
    </row>
    <row r="89" spans="1:40" ht="15.75" thickBot="1" x14ac:dyDescent="0.3">
      <c r="A89" s="73" t="s">
        <v>100</v>
      </c>
      <c r="B89" s="94">
        <v>2046.54</v>
      </c>
      <c r="C89" s="94">
        <f t="shared" ref="C89:AG89" si="34">C50+C54+C72+C68+C84+C88</f>
        <v>2034.54</v>
      </c>
      <c r="D89" s="94">
        <f t="shared" ref="D89:E89" si="35">D50+D54+D72+D68+D84+D88</f>
        <v>2022.94</v>
      </c>
      <c r="E89" s="94">
        <f t="shared" si="35"/>
        <v>2030.3400000000001</v>
      </c>
      <c r="F89" s="94">
        <f t="shared" ref="F89:G89" si="36">F50+F54+F72+F68+F84+F88</f>
        <v>2030.3400000000001</v>
      </c>
      <c r="G89" s="94">
        <f t="shared" si="36"/>
        <v>2029.54</v>
      </c>
      <c r="H89" s="94">
        <f t="shared" ref="H89:I89" si="37">H50+H54+H72+H68+H84+H88</f>
        <v>2020.44</v>
      </c>
      <c r="I89" s="94">
        <f t="shared" si="37"/>
        <v>2041.3400000000001</v>
      </c>
      <c r="J89" s="94">
        <f t="shared" ref="J89:K89" si="38">J50+J54+J72+J68+J84+J88</f>
        <v>2046.04</v>
      </c>
      <c r="K89" s="94">
        <f t="shared" si="38"/>
        <v>2046.64</v>
      </c>
      <c r="L89" s="94">
        <f t="shared" ref="L89" si="39">L50+L54+L72+L68+L84+L88</f>
        <v>2118.7400000000002</v>
      </c>
      <c r="M89" s="94">
        <f t="shared" si="34"/>
        <v>2131.1400000000003</v>
      </c>
      <c r="N89" s="94">
        <f t="shared" si="34"/>
        <v>2084.04</v>
      </c>
      <c r="O89" s="94">
        <f t="shared" si="34"/>
        <v>2045.8400000000001</v>
      </c>
      <c r="P89" s="94">
        <f t="shared" si="34"/>
        <v>2044.2400000000002</v>
      </c>
      <c r="Q89" s="94">
        <f t="shared" si="34"/>
        <v>2049.6400000000003</v>
      </c>
      <c r="R89" s="94">
        <f t="shared" si="34"/>
        <v>2139.34</v>
      </c>
      <c r="S89" s="94">
        <f t="shared" si="34"/>
        <v>2129.9399999999996</v>
      </c>
      <c r="T89" s="94">
        <f t="shared" si="34"/>
        <v>2135.54</v>
      </c>
      <c r="U89" s="94">
        <f t="shared" si="34"/>
        <v>2144.7399999999998</v>
      </c>
      <c r="V89" s="94">
        <f t="shared" si="34"/>
        <v>2145.44</v>
      </c>
      <c r="W89" s="94">
        <f t="shared" si="34"/>
        <v>2120.44</v>
      </c>
      <c r="X89" s="94">
        <f t="shared" si="34"/>
        <v>2054.84</v>
      </c>
      <c r="Y89" s="94">
        <f t="shared" si="34"/>
        <v>2186.44</v>
      </c>
      <c r="Z89" s="94">
        <f t="shared" si="34"/>
        <v>2209.54</v>
      </c>
      <c r="AA89" s="94">
        <f t="shared" si="34"/>
        <v>2184.3399999999997</v>
      </c>
      <c r="AB89" s="94">
        <f t="shared" si="34"/>
        <v>2149.4400000000005</v>
      </c>
      <c r="AC89" s="94">
        <f t="shared" si="34"/>
        <v>2143.34</v>
      </c>
      <c r="AD89" s="94">
        <f t="shared" si="34"/>
        <v>2128.04</v>
      </c>
      <c r="AE89" s="94">
        <f t="shared" si="34"/>
        <v>2105.7400000000002</v>
      </c>
      <c r="AF89" s="94">
        <f t="shared" si="34"/>
        <v>2107.1400000000003</v>
      </c>
      <c r="AG89" s="61">
        <f t="shared" si="34"/>
        <v>2111.5500000000002</v>
      </c>
      <c r="AH89" s="47">
        <f t="shared" si="26"/>
        <v>2209.54</v>
      </c>
      <c r="AI89" s="48">
        <f t="shared" si="27"/>
        <v>2020.44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6"/>
        <v>0</v>
      </c>
      <c r="AI90" s="48">
        <f t="shared" si="27"/>
        <v>0</v>
      </c>
    </row>
    <row r="91" spans="1:40" ht="15.75" thickBot="1" x14ac:dyDescent="0.3">
      <c r="A91" s="73" t="s">
        <v>102</v>
      </c>
      <c r="B91" s="94">
        <v>2046.54</v>
      </c>
      <c r="C91" s="94">
        <f t="shared" ref="C91:AF91" si="40">C89+C90</f>
        <v>2034.54</v>
      </c>
      <c r="D91" s="94">
        <f t="shared" ref="D91:E91" si="41">D89+D90</f>
        <v>2022.94</v>
      </c>
      <c r="E91" s="94">
        <f t="shared" si="41"/>
        <v>2030.3400000000001</v>
      </c>
      <c r="F91" s="94">
        <f t="shared" ref="F91:G91" si="42">F89+F90</f>
        <v>2030.3400000000001</v>
      </c>
      <c r="G91" s="94">
        <f t="shared" si="42"/>
        <v>2029.54</v>
      </c>
      <c r="H91" s="94">
        <f t="shared" ref="H91:I91" si="43">H89+H90</f>
        <v>2020.44</v>
      </c>
      <c r="I91" s="94">
        <f t="shared" si="43"/>
        <v>2041.3400000000001</v>
      </c>
      <c r="J91" s="94">
        <f t="shared" ref="J91:K91" si="44">J89+J90</f>
        <v>2046.04</v>
      </c>
      <c r="K91" s="94">
        <f t="shared" si="44"/>
        <v>2046.64</v>
      </c>
      <c r="L91" s="94">
        <f t="shared" ref="L91" si="45">L89+L90</f>
        <v>2118.7400000000002</v>
      </c>
      <c r="M91" s="94">
        <f t="shared" si="40"/>
        <v>2131.1400000000003</v>
      </c>
      <c r="N91" s="94">
        <f t="shared" si="40"/>
        <v>2084.04</v>
      </c>
      <c r="O91" s="94">
        <f t="shared" si="40"/>
        <v>2045.8400000000001</v>
      </c>
      <c r="P91" s="94">
        <f t="shared" si="40"/>
        <v>2044.2400000000002</v>
      </c>
      <c r="Q91" s="94">
        <f t="shared" si="40"/>
        <v>2049.6400000000003</v>
      </c>
      <c r="R91" s="94">
        <f t="shared" si="40"/>
        <v>2139.34</v>
      </c>
      <c r="S91" s="94">
        <f t="shared" si="40"/>
        <v>2129.9399999999996</v>
      </c>
      <c r="T91" s="94">
        <f t="shared" si="40"/>
        <v>2135.54</v>
      </c>
      <c r="U91" s="94">
        <f t="shared" si="40"/>
        <v>2144.7399999999998</v>
      </c>
      <c r="V91" s="94">
        <f t="shared" si="40"/>
        <v>2145.44</v>
      </c>
      <c r="W91" s="94">
        <f t="shared" si="40"/>
        <v>2120.44</v>
      </c>
      <c r="X91" s="94">
        <f t="shared" si="40"/>
        <v>2054.84</v>
      </c>
      <c r="Y91" s="94">
        <f t="shared" si="40"/>
        <v>2186.44</v>
      </c>
      <c r="Z91" s="94">
        <f t="shared" si="40"/>
        <v>2209.54</v>
      </c>
      <c r="AA91" s="94">
        <f t="shared" si="40"/>
        <v>2184.3399999999997</v>
      </c>
      <c r="AB91" s="94">
        <f t="shared" si="40"/>
        <v>2149.4400000000005</v>
      </c>
      <c r="AC91" s="94">
        <f t="shared" si="40"/>
        <v>2143.34</v>
      </c>
      <c r="AD91" s="94">
        <f t="shared" si="40"/>
        <v>2128.04</v>
      </c>
      <c r="AE91" s="94">
        <f t="shared" si="40"/>
        <v>2105.7400000000002</v>
      </c>
      <c r="AF91" s="94">
        <f t="shared" si="40"/>
        <v>2107.1400000000003</v>
      </c>
      <c r="AG91" s="87">
        <f>AG88+AG84+AG72+AG68+AG50+AG90</f>
        <v>1573.45</v>
      </c>
      <c r="AH91" s="47">
        <f t="shared" si="26"/>
        <v>2209.54</v>
      </c>
      <c r="AI91" s="48">
        <f t="shared" si="27"/>
        <v>2020.44</v>
      </c>
    </row>
    <row r="92" spans="1:40" ht="15.75" thickBot="1" x14ac:dyDescent="0.3">
      <c r="A92" s="73" t="s">
        <v>103</v>
      </c>
      <c r="B92" s="94">
        <v>1671.54</v>
      </c>
      <c r="C92" s="94">
        <f t="shared" ref="C92:AF92" si="46">C91-(-C99)</f>
        <v>1700.6399999999999</v>
      </c>
      <c r="D92" s="94">
        <f t="shared" ref="D92:E92" si="47">D91-(-D99)</f>
        <v>1672.94</v>
      </c>
      <c r="E92" s="94">
        <f t="shared" si="47"/>
        <v>1663.64</v>
      </c>
      <c r="F92" s="94">
        <f t="shared" ref="F92:G92" si="48">F91-(-F99)</f>
        <v>1663.64</v>
      </c>
      <c r="G92" s="94">
        <f t="shared" si="48"/>
        <v>1659.44</v>
      </c>
      <c r="H92" s="94">
        <f t="shared" ref="H92:I92" si="49">H91-(-H99)</f>
        <v>1587.64</v>
      </c>
      <c r="I92" s="94">
        <f t="shared" si="49"/>
        <v>1601.0400000000002</v>
      </c>
      <c r="J92" s="94">
        <f t="shared" ref="J92:K92" si="50">J91-(-J99)</f>
        <v>1605.74</v>
      </c>
      <c r="K92" s="94">
        <f t="shared" si="50"/>
        <v>1701.04</v>
      </c>
      <c r="L92" s="94">
        <f t="shared" ref="L92" si="51">L91-(-L99)</f>
        <v>1754.7400000000002</v>
      </c>
      <c r="M92" s="94">
        <f t="shared" si="46"/>
        <v>1744.1400000000003</v>
      </c>
      <c r="N92" s="94">
        <f t="shared" si="46"/>
        <v>1717.04</v>
      </c>
      <c r="O92" s="94">
        <f t="shared" si="46"/>
        <v>1686.14</v>
      </c>
      <c r="P92" s="94">
        <f t="shared" si="46"/>
        <v>1724.2400000000002</v>
      </c>
      <c r="Q92" s="94">
        <f t="shared" si="46"/>
        <v>1735.8400000000004</v>
      </c>
      <c r="R92" s="94">
        <f t="shared" si="46"/>
        <v>1687.3400000000001</v>
      </c>
      <c r="S92" s="94">
        <f t="shared" si="46"/>
        <v>1733.9399999999996</v>
      </c>
      <c r="T92" s="94">
        <f t="shared" si="46"/>
        <v>1737.54</v>
      </c>
      <c r="U92" s="94">
        <f t="shared" si="46"/>
        <v>1704.7399999999998</v>
      </c>
      <c r="V92" s="94">
        <f t="shared" si="46"/>
        <v>1705.14</v>
      </c>
      <c r="W92" s="94">
        <f t="shared" si="46"/>
        <v>1685.44</v>
      </c>
      <c r="X92" s="94">
        <f t="shared" si="46"/>
        <v>1721.8400000000001</v>
      </c>
      <c r="Y92" s="94">
        <f t="shared" si="46"/>
        <v>1834.44</v>
      </c>
      <c r="Z92" s="94">
        <f t="shared" si="46"/>
        <v>1817.54</v>
      </c>
      <c r="AA92" s="94">
        <f t="shared" si="46"/>
        <v>1792.3399999999997</v>
      </c>
      <c r="AB92" s="94">
        <f t="shared" si="46"/>
        <v>1784.4400000000005</v>
      </c>
      <c r="AC92" s="94">
        <f t="shared" si="46"/>
        <v>1777.3400000000001</v>
      </c>
      <c r="AD92" s="94">
        <f t="shared" si="46"/>
        <v>1812.24</v>
      </c>
      <c r="AE92" s="94">
        <f t="shared" si="46"/>
        <v>1769.9400000000003</v>
      </c>
      <c r="AF92" s="94">
        <f t="shared" si="46"/>
        <v>1787.1400000000003</v>
      </c>
      <c r="AG92" s="87"/>
      <c r="AH92" s="47">
        <f t="shared" si="26"/>
        <v>1834.44</v>
      </c>
      <c r="AI92" s="48">
        <f t="shared" si="27"/>
        <v>1587.64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6"/>
        <v>0</v>
      </c>
      <c r="AI93" s="48">
        <f t="shared" si="27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6"/>
        <v>0</v>
      </c>
      <c r="AI94" s="48">
        <f t="shared" si="27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6"/>
        <v>0</v>
      </c>
      <c r="AI95" s="48">
        <f t="shared" si="27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6"/>
        <v>0</v>
      </c>
      <c r="AI96" s="48">
        <f t="shared" si="27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6"/>
        <v>0</v>
      </c>
      <c r="AI97" s="48">
        <f t="shared" si="27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6"/>
        <v>0</v>
      </c>
      <c r="AI98" s="48">
        <f t="shared" si="27"/>
        <v>0</v>
      </c>
    </row>
    <row r="99" spans="1:37" ht="15.75" thickBot="1" x14ac:dyDescent="0.3">
      <c r="A99" s="98" t="s">
        <v>107</v>
      </c>
      <c r="B99" s="60">
        <v>-375</v>
      </c>
      <c r="C99" s="60">
        <f t="shared" ref="C99:AF99" si="52">C75</f>
        <v>-333.9</v>
      </c>
      <c r="D99" s="60">
        <f t="shared" ref="D99:E99" si="53">D75</f>
        <v>-350</v>
      </c>
      <c r="E99" s="60">
        <f t="shared" si="53"/>
        <v>-366.7</v>
      </c>
      <c r="F99" s="60">
        <f t="shared" ref="F99:G99" si="54">F75</f>
        <v>-366.7</v>
      </c>
      <c r="G99" s="60">
        <f t="shared" si="54"/>
        <v>-370.1</v>
      </c>
      <c r="H99" s="60">
        <f t="shared" ref="H99:I99" si="55">H75</f>
        <v>-432.8</v>
      </c>
      <c r="I99" s="60">
        <f t="shared" si="55"/>
        <v>-440.3</v>
      </c>
      <c r="J99" s="60">
        <f t="shared" ref="J99:K99" si="56">J75</f>
        <v>-440.3</v>
      </c>
      <c r="K99" s="60">
        <f t="shared" si="56"/>
        <v>-345.6</v>
      </c>
      <c r="L99" s="60">
        <f t="shared" ref="L99" si="57">L75</f>
        <v>-364</v>
      </c>
      <c r="M99" s="60">
        <f t="shared" si="52"/>
        <v>-387</v>
      </c>
      <c r="N99" s="60">
        <f t="shared" si="52"/>
        <v>-367</v>
      </c>
      <c r="O99" s="60">
        <f t="shared" si="52"/>
        <v>-359.7</v>
      </c>
      <c r="P99" s="60">
        <f t="shared" si="52"/>
        <v>-320</v>
      </c>
      <c r="Q99" s="60">
        <f t="shared" si="52"/>
        <v>-313.8</v>
      </c>
      <c r="R99" s="60">
        <f t="shared" si="52"/>
        <v>-452</v>
      </c>
      <c r="S99" s="60">
        <f t="shared" si="52"/>
        <v>-396</v>
      </c>
      <c r="T99" s="60">
        <f t="shared" si="52"/>
        <v>-398</v>
      </c>
      <c r="U99" s="60">
        <f t="shared" si="52"/>
        <v>-440</v>
      </c>
      <c r="V99" s="60">
        <f t="shared" si="52"/>
        <v>-440.3</v>
      </c>
      <c r="W99" s="60">
        <f t="shared" si="52"/>
        <v>-435</v>
      </c>
      <c r="X99" s="60">
        <f t="shared" si="52"/>
        <v>-333</v>
      </c>
      <c r="Y99" s="60">
        <f t="shared" si="52"/>
        <v>-352</v>
      </c>
      <c r="Z99" s="60">
        <f t="shared" si="52"/>
        <v>-392</v>
      </c>
      <c r="AA99" s="60">
        <f t="shared" si="52"/>
        <v>-392</v>
      </c>
      <c r="AB99" s="60">
        <f t="shared" si="52"/>
        <v>-365</v>
      </c>
      <c r="AC99" s="60">
        <f t="shared" si="52"/>
        <v>-366</v>
      </c>
      <c r="AD99" s="60">
        <f t="shared" si="52"/>
        <v>-315.8</v>
      </c>
      <c r="AE99" s="60">
        <f t="shared" si="52"/>
        <v>-335.8</v>
      </c>
      <c r="AF99" s="60">
        <f t="shared" si="52"/>
        <v>-320</v>
      </c>
      <c r="AG99" s="87"/>
      <c r="AH99" s="47">
        <f t="shared" si="26"/>
        <v>-313.8</v>
      </c>
      <c r="AI99" s="48">
        <f t="shared" si="27"/>
        <v>-452</v>
      </c>
      <c r="AK99" s="50"/>
    </row>
    <row r="100" spans="1:37" ht="15.75" thickBot="1" x14ac:dyDescent="0.3">
      <c r="A100" s="73" t="s">
        <v>108</v>
      </c>
      <c r="B100" s="60">
        <v>375</v>
      </c>
      <c r="C100" s="60">
        <f t="shared" ref="C100:AF100" si="58">C84-C99</f>
        <v>333.9</v>
      </c>
      <c r="D100" s="60">
        <f t="shared" ref="D100:E100" si="59">D84-D99</f>
        <v>350</v>
      </c>
      <c r="E100" s="60">
        <f t="shared" si="59"/>
        <v>366.7</v>
      </c>
      <c r="F100" s="60">
        <f t="shared" ref="F100:G100" si="60">F84-F99</f>
        <v>366.7</v>
      </c>
      <c r="G100" s="60">
        <f t="shared" si="60"/>
        <v>370.1</v>
      </c>
      <c r="H100" s="60">
        <f t="shared" ref="H100:I100" si="61">H84-H99</f>
        <v>432.8</v>
      </c>
      <c r="I100" s="60">
        <f t="shared" si="61"/>
        <v>440.3</v>
      </c>
      <c r="J100" s="60">
        <f t="shared" ref="J100:K100" si="62">J84-J99</f>
        <v>440.3</v>
      </c>
      <c r="K100" s="60">
        <f t="shared" si="62"/>
        <v>345.6</v>
      </c>
      <c r="L100" s="60">
        <f t="shared" ref="L100" si="63">L84-L99</f>
        <v>364</v>
      </c>
      <c r="M100" s="60">
        <f t="shared" si="58"/>
        <v>387</v>
      </c>
      <c r="N100" s="60">
        <f t="shared" si="58"/>
        <v>367</v>
      </c>
      <c r="O100" s="60">
        <f t="shared" si="58"/>
        <v>359.7</v>
      </c>
      <c r="P100" s="60">
        <f t="shared" si="58"/>
        <v>320</v>
      </c>
      <c r="Q100" s="60">
        <f t="shared" si="58"/>
        <v>313.8</v>
      </c>
      <c r="R100" s="60">
        <f t="shared" si="58"/>
        <v>452</v>
      </c>
      <c r="S100" s="60">
        <f t="shared" si="58"/>
        <v>396</v>
      </c>
      <c r="T100" s="60">
        <f t="shared" si="58"/>
        <v>398</v>
      </c>
      <c r="U100" s="60">
        <f t="shared" si="58"/>
        <v>440</v>
      </c>
      <c r="V100" s="60">
        <f t="shared" si="58"/>
        <v>440.3</v>
      </c>
      <c r="W100" s="60">
        <f t="shared" si="58"/>
        <v>435</v>
      </c>
      <c r="X100" s="60">
        <f t="shared" si="58"/>
        <v>333</v>
      </c>
      <c r="Y100" s="60">
        <f t="shared" si="58"/>
        <v>352</v>
      </c>
      <c r="Z100" s="60">
        <f t="shared" si="58"/>
        <v>392</v>
      </c>
      <c r="AA100" s="60">
        <f t="shared" si="58"/>
        <v>392</v>
      </c>
      <c r="AB100" s="60">
        <f t="shared" si="58"/>
        <v>365</v>
      </c>
      <c r="AC100" s="60">
        <f t="shared" si="58"/>
        <v>366</v>
      </c>
      <c r="AD100" s="60">
        <f>AD84-AD99</f>
        <v>315.8</v>
      </c>
      <c r="AE100" s="60">
        <f t="shared" si="58"/>
        <v>335.8</v>
      </c>
      <c r="AF100" s="60">
        <f t="shared" si="58"/>
        <v>320</v>
      </c>
      <c r="AG100" s="87"/>
      <c r="AH100" s="47">
        <f t="shared" si="26"/>
        <v>452</v>
      </c>
      <c r="AI100" s="48">
        <f t="shared" si="27"/>
        <v>313.8</v>
      </c>
    </row>
    <row r="101" spans="1:37" x14ac:dyDescent="0.25">
      <c r="A101" s="99" t="s">
        <v>109</v>
      </c>
      <c r="B101" s="100">
        <v>50.03</v>
      </c>
      <c r="C101" s="100">
        <v>49.98</v>
      </c>
      <c r="D101" s="100">
        <v>49.98</v>
      </c>
      <c r="E101" s="100">
        <v>49.975000000000001</v>
      </c>
      <c r="F101" s="100">
        <v>49.975000000000001</v>
      </c>
      <c r="G101" s="100">
        <v>49.92</v>
      </c>
      <c r="H101" s="100">
        <v>49.965000000000003</v>
      </c>
      <c r="I101" s="100">
        <v>50</v>
      </c>
      <c r="J101" s="100">
        <v>50</v>
      </c>
      <c r="K101" s="100">
        <v>49.96</v>
      </c>
      <c r="L101" s="100">
        <v>49.93</v>
      </c>
      <c r="M101" s="100">
        <v>50.055</v>
      </c>
      <c r="N101" s="100">
        <v>49.96</v>
      </c>
      <c r="O101" s="100">
        <v>50.051000000000002</v>
      </c>
      <c r="P101" s="100">
        <v>50.003999999999998</v>
      </c>
      <c r="Q101" s="100">
        <v>50.009</v>
      </c>
      <c r="R101" s="100">
        <v>49.947000000000003</v>
      </c>
      <c r="S101" s="100">
        <v>49.947000000000003</v>
      </c>
      <c r="T101" s="100">
        <v>49.947000000000003</v>
      </c>
      <c r="U101" s="100">
        <v>49.982999999999997</v>
      </c>
      <c r="V101" s="100">
        <v>49.878</v>
      </c>
      <c r="W101" s="100">
        <v>49.98</v>
      </c>
      <c r="X101" s="100">
        <v>49.957000000000001</v>
      </c>
      <c r="Y101" s="100">
        <v>49.972999999999999</v>
      </c>
      <c r="Z101" s="100">
        <v>49.936999999999998</v>
      </c>
      <c r="AA101" s="100">
        <v>49.936999999999998</v>
      </c>
      <c r="AB101" s="100">
        <v>50.064999999999998</v>
      </c>
      <c r="AC101" s="100">
        <v>50.017000000000003</v>
      </c>
      <c r="AD101" s="100">
        <v>50.024000000000001</v>
      </c>
      <c r="AE101" s="100">
        <v>50.07</v>
      </c>
      <c r="AF101" s="100">
        <v>49.96</v>
      </c>
      <c r="AG101" s="101"/>
      <c r="AH101" s="47">
        <f t="shared" si="26"/>
        <v>50.07</v>
      </c>
      <c r="AI101" s="48">
        <f t="shared" si="27"/>
        <v>49.878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6"/>
        <v>0</v>
      </c>
      <c r="AI102" s="48">
        <f t="shared" si="27"/>
        <v>0</v>
      </c>
    </row>
    <row r="103" spans="1:37" x14ac:dyDescent="0.25">
      <c r="A103" s="102" t="s">
        <v>111</v>
      </c>
      <c r="B103" s="64">
        <v>127</v>
      </c>
      <c r="C103" s="64">
        <v>128</v>
      </c>
      <c r="D103" s="64">
        <v>128</v>
      </c>
      <c r="E103" s="64">
        <v>128</v>
      </c>
      <c r="F103" s="64">
        <v>128</v>
      </c>
      <c r="G103" s="64">
        <v>128</v>
      </c>
      <c r="H103" s="64">
        <v>128</v>
      </c>
      <c r="I103" s="64">
        <v>128.80000000000001</v>
      </c>
      <c r="J103" s="64">
        <v>128.80000000000001</v>
      </c>
      <c r="K103" s="64">
        <v>128.80000000000001</v>
      </c>
      <c r="L103" s="64">
        <v>126.3</v>
      </c>
      <c r="M103" s="64">
        <v>126.2</v>
      </c>
      <c r="N103" s="64">
        <v>128.4</v>
      </c>
      <c r="O103" s="64">
        <v>124.5</v>
      </c>
      <c r="P103" s="64">
        <v>125.4</v>
      </c>
      <c r="Q103" s="64">
        <v>127.3</v>
      </c>
      <c r="R103" s="64">
        <v>124</v>
      </c>
      <c r="S103" s="64">
        <v>124</v>
      </c>
      <c r="T103" s="64">
        <v>124</v>
      </c>
      <c r="U103" s="64">
        <v>124.6</v>
      </c>
      <c r="V103" s="64">
        <v>125.2</v>
      </c>
      <c r="W103" s="64">
        <v>126.5</v>
      </c>
      <c r="X103" s="64">
        <v>125.3</v>
      </c>
      <c r="Y103" s="64">
        <v>126.7</v>
      </c>
      <c r="Z103" s="64">
        <v>127.4</v>
      </c>
      <c r="AA103" s="64">
        <v>127.4</v>
      </c>
      <c r="AB103" s="64">
        <v>125.7</v>
      </c>
      <c r="AC103" s="64">
        <v>126.6</v>
      </c>
      <c r="AD103" s="64">
        <v>130.1</v>
      </c>
      <c r="AE103" s="64">
        <v>129.5</v>
      </c>
      <c r="AF103" s="64">
        <v>128.9</v>
      </c>
      <c r="AG103" s="103"/>
      <c r="AH103" s="47">
        <f t="shared" si="26"/>
        <v>130.1</v>
      </c>
      <c r="AI103" s="48">
        <f t="shared" si="27"/>
        <v>124</v>
      </c>
    </row>
    <row r="104" spans="1:37" x14ac:dyDescent="0.25">
      <c r="A104" s="102" t="s">
        <v>112</v>
      </c>
      <c r="B104" s="64">
        <v>129</v>
      </c>
      <c r="C104" s="64">
        <v>129</v>
      </c>
      <c r="D104" s="64">
        <v>129</v>
      </c>
      <c r="E104" s="64">
        <v>129</v>
      </c>
      <c r="F104" s="64">
        <v>129</v>
      </c>
      <c r="G104" s="64">
        <v>129</v>
      </c>
      <c r="H104" s="64">
        <v>129</v>
      </c>
      <c r="I104" s="64">
        <v>130.80000000000001</v>
      </c>
      <c r="J104" s="64">
        <v>130.80000000000001</v>
      </c>
      <c r="K104" s="64">
        <v>130.80000000000001</v>
      </c>
      <c r="L104" s="64">
        <v>127.5</v>
      </c>
      <c r="M104" s="64">
        <v>127.2</v>
      </c>
      <c r="N104" s="64">
        <v>128.69999999999999</v>
      </c>
      <c r="O104" s="64">
        <v>125.4</v>
      </c>
      <c r="P104" s="64">
        <v>125.5</v>
      </c>
      <c r="Q104" s="64">
        <v>127.6</v>
      </c>
      <c r="R104" s="64">
        <v>126</v>
      </c>
      <c r="S104" s="64">
        <v>126</v>
      </c>
      <c r="T104" s="64">
        <v>126</v>
      </c>
      <c r="U104" s="64">
        <v>129</v>
      </c>
      <c r="V104" s="64">
        <v>129.69999999999999</v>
      </c>
      <c r="W104" s="64">
        <v>131.5</v>
      </c>
      <c r="X104" s="64">
        <v>130.4</v>
      </c>
      <c r="Y104" s="64">
        <v>125.8</v>
      </c>
      <c r="Z104" s="64">
        <v>127.5</v>
      </c>
      <c r="AA104" s="64">
        <v>127.5</v>
      </c>
      <c r="AB104" s="64">
        <v>123.9</v>
      </c>
      <c r="AC104" s="64">
        <v>124.6</v>
      </c>
      <c r="AD104" s="64">
        <v>126.4</v>
      </c>
      <c r="AE104" s="64">
        <v>127.8</v>
      </c>
      <c r="AF104" s="64">
        <v>126.2</v>
      </c>
      <c r="AG104" s="103"/>
      <c r="AH104" s="47">
        <f t="shared" si="26"/>
        <v>131.5</v>
      </c>
      <c r="AI104" s="48">
        <f t="shared" si="27"/>
        <v>123.9</v>
      </c>
    </row>
    <row r="105" spans="1:37" x14ac:dyDescent="0.25">
      <c r="A105" s="104" t="s">
        <v>113</v>
      </c>
      <c r="B105" s="64">
        <v>132</v>
      </c>
      <c r="C105" s="64">
        <v>132</v>
      </c>
      <c r="D105" s="64">
        <v>132</v>
      </c>
      <c r="E105" s="64">
        <v>132</v>
      </c>
      <c r="F105" s="64">
        <v>132</v>
      </c>
      <c r="G105" s="64">
        <v>132</v>
      </c>
      <c r="H105" s="64">
        <v>132</v>
      </c>
      <c r="I105" s="64">
        <v>132.69999999999999</v>
      </c>
      <c r="J105" s="64">
        <v>132.69999999999999</v>
      </c>
      <c r="K105" s="64">
        <v>132.69999999999999</v>
      </c>
      <c r="L105" s="64">
        <v>129.80000000000001</v>
      </c>
      <c r="M105" s="64">
        <v>129.6</v>
      </c>
      <c r="N105" s="64">
        <v>130</v>
      </c>
      <c r="O105" s="64">
        <v>127.5</v>
      </c>
      <c r="P105" s="64">
        <v>127.7</v>
      </c>
      <c r="Q105" s="64">
        <v>129.69999999999999</v>
      </c>
      <c r="R105" s="64">
        <v>129</v>
      </c>
      <c r="S105" s="64">
        <v>129</v>
      </c>
      <c r="T105" s="64">
        <v>129</v>
      </c>
      <c r="U105" s="64">
        <v>131.1</v>
      </c>
      <c r="V105" s="64">
        <v>131</v>
      </c>
      <c r="W105" s="64">
        <v>133.19999999999999</v>
      </c>
      <c r="X105" s="64">
        <v>130.9</v>
      </c>
      <c r="Y105" s="64">
        <v>128</v>
      </c>
      <c r="Z105" s="64">
        <v>130</v>
      </c>
      <c r="AA105" s="64">
        <v>130</v>
      </c>
      <c r="AB105" s="64">
        <v>126.8</v>
      </c>
      <c r="AC105" s="64">
        <v>127.2</v>
      </c>
      <c r="AD105" s="64">
        <v>128.69999999999999</v>
      </c>
      <c r="AE105" s="64">
        <v>130.6</v>
      </c>
      <c r="AF105" s="64">
        <v>130.1</v>
      </c>
      <c r="AG105" s="103"/>
      <c r="AH105" s="47">
        <f t="shared" si="26"/>
        <v>133.19999999999999</v>
      </c>
      <c r="AI105" s="48">
        <f t="shared" si="27"/>
        <v>126.8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26"/>
        <v>0</v>
      </c>
      <c r="AI106" s="48">
        <f t="shared" si="27"/>
        <v>0</v>
      </c>
    </row>
    <row r="107" spans="1:37" x14ac:dyDescent="0.25">
      <c r="A107" s="102" t="s">
        <v>115</v>
      </c>
      <c r="B107" s="64">
        <v>132</v>
      </c>
      <c r="C107" s="64">
        <v>133</v>
      </c>
      <c r="D107" s="64">
        <v>133</v>
      </c>
      <c r="E107" s="64">
        <v>133</v>
      </c>
      <c r="F107" s="64">
        <v>133</v>
      </c>
      <c r="G107" s="64">
        <v>133</v>
      </c>
      <c r="H107" s="64">
        <v>133</v>
      </c>
      <c r="I107" s="64">
        <v>129</v>
      </c>
      <c r="J107" s="64">
        <v>129</v>
      </c>
      <c r="K107" s="64">
        <v>129</v>
      </c>
      <c r="L107" s="64">
        <v>134.9</v>
      </c>
      <c r="M107" s="64">
        <v>131.19999999999999</v>
      </c>
      <c r="N107" s="64">
        <v>129.6</v>
      </c>
      <c r="O107" s="64">
        <v>129.9</v>
      </c>
      <c r="P107" s="64">
        <v>129.1</v>
      </c>
      <c r="Q107" s="64">
        <v>129</v>
      </c>
      <c r="R107" s="64">
        <v>128</v>
      </c>
      <c r="S107" s="64">
        <v>128</v>
      </c>
      <c r="T107" s="64">
        <v>128</v>
      </c>
      <c r="U107" s="64">
        <v>128.9</v>
      </c>
      <c r="V107" s="64">
        <v>132.1</v>
      </c>
      <c r="W107" s="64">
        <v>135</v>
      </c>
      <c r="X107" s="64">
        <v>132.80000000000001</v>
      </c>
      <c r="Y107" s="64">
        <v>135.1</v>
      </c>
      <c r="Z107" s="64">
        <v>137</v>
      </c>
      <c r="AA107" s="64">
        <v>137</v>
      </c>
      <c r="AB107" s="64">
        <v>133.6</v>
      </c>
      <c r="AC107" s="64">
        <v>131.80000000000001</v>
      </c>
      <c r="AD107" s="64">
        <v>135.69999999999999</v>
      </c>
      <c r="AE107" s="64">
        <v>129.5</v>
      </c>
      <c r="AF107" s="64">
        <v>124.8</v>
      </c>
      <c r="AG107" s="103"/>
      <c r="AH107" s="47">
        <f t="shared" si="26"/>
        <v>137</v>
      </c>
      <c r="AI107" s="48">
        <f t="shared" si="27"/>
        <v>124.8</v>
      </c>
    </row>
    <row r="108" spans="1:37" ht="15.75" thickBot="1" x14ac:dyDescent="0.3">
      <c r="A108" s="102" t="s">
        <v>116</v>
      </c>
      <c r="B108" s="91">
        <v>64</v>
      </c>
      <c r="C108" s="91">
        <v>64.69</v>
      </c>
      <c r="D108" s="91">
        <v>64.69</v>
      </c>
      <c r="E108" s="91">
        <v>64.69</v>
      </c>
      <c r="F108" s="91">
        <v>64.69</v>
      </c>
      <c r="G108" s="91">
        <v>64.69</v>
      </c>
      <c r="H108" s="91">
        <v>64.69</v>
      </c>
      <c r="I108" s="91">
        <v>64.69</v>
      </c>
      <c r="J108" s="91">
        <v>64.69</v>
      </c>
      <c r="K108" s="91">
        <v>64.69</v>
      </c>
      <c r="L108" s="91">
        <v>63.5</v>
      </c>
      <c r="M108" s="91">
        <v>63.8</v>
      </c>
      <c r="N108" s="91">
        <v>64.5</v>
      </c>
      <c r="O108" s="91">
        <v>62.4</v>
      </c>
      <c r="P108" s="91">
        <v>62.7</v>
      </c>
      <c r="Q108" s="91">
        <v>63.2</v>
      </c>
      <c r="R108" s="91">
        <v>61.9</v>
      </c>
      <c r="S108" s="91">
        <v>61.9</v>
      </c>
      <c r="T108" s="91">
        <v>61.9</v>
      </c>
      <c r="U108" s="91">
        <v>62.1</v>
      </c>
      <c r="V108" s="91">
        <v>62.6</v>
      </c>
      <c r="W108" s="91">
        <v>63.4</v>
      </c>
      <c r="X108" s="91">
        <v>62.9</v>
      </c>
      <c r="Y108" s="91">
        <v>63.7</v>
      </c>
      <c r="Z108" s="91">
        <v>64</v>
      </c>
      <c r="AA108" s="91">
        <v>64</v>
      </c>
      <c r="AB108" s="91">
        <v>63.3</v>
      </c>
      <c r="AC108" s="91">
        <v>63.5</v>
      </c>
      <c r="AD108" s="91">
        <v>65.2</v>
      </c>
      <c r="AE108" s="91">
        <v>65</v>
      </c>
      <c r="AF108" s="91">
        <v>64.5</v>
      </c>
      <c r="AG108" s="107"/>
      <c r="AH108" s="47">
        <f t="shared" si="26"/>
        <v>65.2</v>
      </c>
      <c r="AI108" s="48">
        <f t="shared" si="27"/>
        <v>61.9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6"/>
        <v>0</v>
      </c>
      <c r="AI109" s="48">
        <f t="shared" si="27"/>
        <v>0</v>
      </c>
    </row>
    <row r="110" spans="1:37" ht="15.75" thickBot="1" x14ac:dyDescent="0.3">
      <c r="A110" s="109" t="s">
        <v>118</v>
      </c>
      <c r="B110" s="110">
        <v>74.5</v>
      </c>
      <c r="C110" s="110">
        <f t="shared" ref="C110:O110" si="64">SUM(C20,C26,C29:C30,C58,C60:C61,C63,C65,C111:C115,C138,C144,C150,C159,C161,C173,C180,C183:C184,C191,C193,C195,C199:C201,C203:C205,C210,C216:C217,C219:C221,C229,C234)</f>
        <v>26.44</v>
      </c>
      <c r="D110" s="110">
        <f t="shared" ref="D110:E110" si="65">SUM(D20,D26,D29:D30,D58,D60:D61,D63,D65,D111:D115,D138,D144,D150,D159,D161,D173,D180,D183:D184,D191,D193,D195,D199:D201,D203:D205,D210,D216:D217,D219:D221,D229,D234)</f>
        <v>12.940000000000012</v>
      </c>
      <c r="E110" s="110">
        <f t="shared" si="65"/>
        <v>12.840000000000012</v>
      </c>
      <c r="F110" s="110">
        <f t="shared" ref="F110:G110" si="66">SUM(F20,F26,F29:F30,F58,F60:F61,F63,F65,F111:F115,F138,F144,F150,F159,F161,F173,F180,F183:F184,F191,F193,F195,F199:F201,F203:F205,F210,F216:F217,F219:F221,F229,F234)</f>
        <v>12.840000000000012</v>
      </c>
      <c r="G110" s="110">
        <f t="shared" si="66"/>
        <v>11.440000000000007</v>
      </c>
      <c r="H110" s="110">
        <f t="shared" ref="H110:I110" si="67">SUM(H20,H26,H29:H30,H58,H60:H61,H63,H65,H111:H115,H138,H144,H150,H159,H161,H173,H180,H183:H184,H191,H193,H195,H199:H201,H203:H205,H210,H216:H217,H219:H221,H229,H234)</f>
        <v>27.640000000000008</v>
      </c>
      <c r="I110" s="110">
        <f t="shared" si="67"/>
        <v>75.339999999999989</v>
      </c>
      <c r="J110" s="110">
        <f t="shared" ref="J110:K110" si="68">SUM(J20,J26,J29:J30,J58,J60:J61,J63,J65,J111:J115,J138,J144,J150,J159,J161,J173,J180,J183:J184,J191,J193,J195,J199:J201,J203:J205,J210,J216:J217,J219:J221,J229,J234)</f>
        <v>75.040000000000006</v>
      </c>
      <c r="K110" s="110">
        <f t="shared" si="68"/>
        <v>75.64</v>
      </c>
      <c r="L110" s="110">
        <f t="shared" ref="L110" si="69">SUM(L20,L26,L29:L30,L58,L60:L61,L63,L65,L111:L115,L138,L144,L150,L159,L161,L173,L180,L183:L184,L191,L193,L195,L199:L201,L203:L205,L210,L216:L217,L219:L221,L229,L234)</f>
        <v>187.04</v>
      </c>
      <c r="M110" s="110">
        <f t="shared" si="64"/>
        <v>211.53999999999994</v>
      </c>
      <c r="N110" s="110">
        <f t="shared" si="64"/>
        <v>175.03999999999996</v>
      </c>
      <c r="O110" s="110">
        <f t="shared" si="64"/>
        <v>180.93999999999994</v>
      </c>
      <c r="P110" s="110">
        <v>42</v>
      </c>
      <c r="Q110" s="110">
        <f t="shared" ref="Q110:AF110" si="70">SUM(Q20,Q26,Q29:Q30,Q58,Q60:Q61,Q63,Q65,Q111:Q115,Q138,Q144,Q150,Q159,Q161,Q173,Q180,Q183:Q184,Q191,Q193,Q195,Q199:Q201,Q203:Q205,Q210,Q216:Q217,Q219:Q221,Q229,Q234)</f>
        <v>150.9</v>
      </c>
      <c r="R110" s="110">
        <f t="shared" si="70"/>
        <v>202.29999999999998</v>
      </c>
      <c r="S110" s="110">
        <f t="shared" si="70"/>
        <v>187.29999999999998</v>
      </c>
      <c r="T110" s="110">
        <f t="shared" si="70"/>
        <v>193.4</v>
      </c>
      <c r="U110" s="110">
        <f t="shared" si="70"/>
        <v>210.19999999999996</v>
      </c>
      <c r="V110" s="110">
        <f t="shared" si="70"/>
        <v>205.7</v>
      </c>
      <c r="W110" s="110">
        <f t="shared" si="70"/>
        <v>206.89999999999998</v>
      </c>
      <c r="X110" s="110">
        <f t="shared" si="70"/>
        <v>242.3</v>
      </c>
      <c r="Y110" s="110">
        <f t="shared" si="70"/>
        <v>266.10000000000002</v>
      </c>
      <c r="Z110" s="110">
        <f t="shared" si="70"/>
        <v>269.2</v>
      </c>
      <c r="AA110" s="110">
        <f t="shared" si="70"/>
        <v>269.2</v>
      </c>
      <c r="AB110" s="110">
        <f t="shared" si="70"/>
        <v>186.29999999999995</v>
      </c>
      <c r="AC110" s="110">
        <f t="shared" si="70"/>
        <v>185.39999999999998</v>
      </c>
      <c r="AD110" s="110"/>
      <c r="AE110" s="110">
        <f t="shared" si="70"/>
        <v>69.299999999999983</v>
      </c>
      <c r="AF110" s="110">
        <f t="shared" si="70"/>
        <v>41.899999999999984</v>
      </c>
      <c r="AG110" s="111"/>
      <c r="AH110" s="47">
        <f t="shared" si="26"/>
        <v>269.2</v>
      </c>
      <c r="AI110" s="48">
        <f t="shared" si="27"/>
        <v>11.440000000000007</v>
      </c>
    </row>
    <row r="111" spans="1:37" x14ac:dyDescent="0.25">
      <c r="A111" s="99" t="s">
        <v>119</v>
      </c>
      <c r="B111" s="112">
        <v>14</v>
      </c>
      <c r="C111" s="112">
        <v>23</v>
      </c>
      <c r="D111" s="112">
        <v>17.3</v>
      </c>
      <c r="E111" s="112">
        <v>20.8</v>
      </c>
      <c r="F111" s="112">
        <v>20.8</v>
      </c>
      <c r="G111" s="112">
        <v>20.8</v>
      </c>
      <c r="H111" s="112">
        <v>41.9</v>
      </c>
      <c r="I111" s="112">
        <v>41.9</v>
      </c>
      <c r="J111" s="112">
        <v>41.9</v>
      </c>
      <c r="K111" s="112">
        <v>41.9</v>
      </c>
      <c r="L111" s="112">
        <v>46.1</v>
      </c>
      <c r="M111" s="112">
        <v>54.7</v>
      </c>
      <c r="N111" s="112">
        <v>45.7</v>
      </c>
      <c r="O111" s="112">
        <v>54.7</v>
      </c>
      <c r="P111" s="112">
        <v>45.8</v>
      </c>
      <c r="Q111" s="112">
        <v>50</v>
      </c>
      <c r="R111" s="112">
        <v>69.900000000000006</v>
      </c>
      <c r="S111" s="112">
        <v>69.900000000000006</v>
      </c>
      <c r="T111" s="112">
        <v>69.900000000000006</v>
      </c>
      <c r="U111" s="112">
        <v>40.799999999999997</v>
      </c>
      <c r="V111" s="112">
        <v>61.8</v>
      </c>
      <c r="W111" s="112">
        <v>56</v>
      </c>
      <c r="X111" s="112">
        <v>67</v>
      </c>
      <c r="Y111" s="112">
        <v>64</v>
      </c>
      <c r="Z111" s="112">
        <v>61.3</v>
      </c>
      <c r="AA111" s="112">
        <v>61.3</v>
      </c>
      <c r="AB111" s="112">
        <v>64.599999999999994</v>
      </c>
      <c r="AC111" s="112">
        <v>59.1</v>
      </c>
      <c r="AD111" s="112">
        <v>45</v>
      </c>
      <c r="AE111" s="112">
        <v>40.6</v>
      </c>
      <c r="AF111" s="112">
        <v>33.5</v>
      </c>
      <c r="AG111" s="113">
        <v>75</v>
      </c>
      <c r="AH111" s="47">
        <f t="shared" si="26"/>
        <v>69.900000000000006</v>
      </c>
      <c r="AI111" s="48">
        <f t="shared" si="27"/>
        <v>14</v>
      </c>
    </row>
    <row r="112" spans="1:37" x14ac:dyDescent="0.25">
      <c r="A112" s="102" t="s">
        <v>120</v>
      </c>
      <c r="B112" s="114">
        <v>23</v>
      </c>
      <c r="C112" s="114">
        <v>35</v>
      </c>
      <c r="D112" s="114">
        <v>27.1</v>
      </c>
      <c r="E112" s="114">
        <v>31.6</v>
      </c>
      <c r="F112" s="114">
        <v>31.6</v>
      </c>
      <c r="G112" s="114">
        <v>31.6</v>
      </c>
      <c r="H112" s="114">
        <v>31.6</v>
      </c>
      <c r="I112" s="114">
        <v>54</v>
      </c>
      <c r="J112" s="114">
        <v>54</v>
      </c>
      <c r="K112" s="114">
        <v>54</v>
      </c>
      <c r="L112" s="114">
        <v>64.2</v>
      </c>
      <c r="M112" s="114">
        <v>74.099999999999994</v>
      </c>
      <c r="N112" s="114">
        <v>60.9</v>
      </c>
      <c r="O112" s="114">
        <v>73.400000000000006</v>
      </c>
      <c r="P112" s="114">
        <v>60.7</v>
      </c>
      <c r="Q112" s="114">
        <v>65.7</v>
      </c>
      <c r="R112" s="114">
        <v>102.7</v>
      </c>
      <c r="S112" s="114">
        <v>102.7</v>
      </c>
      <c r="T112" s="114">
        <v>102.7</v>
      </c>
      <c r="U112" s="114">
        <v>57.4</v>
      </c>
      <c r="V112" s="114">
        <v>90.2</v>
      </c>
      <c r="W112" s="114">
        <v>79.400000000000006</v>
      </c>
      <c r="X112" s="114">
        <v>97.3</v>
      </c>
      <c r="Y112" s="114">
        <v>92.6</v>
      </c>
      <c r="Z112" s="114">
        <v>89.3</v>
      </c>
      <c r="AA112" s="114">
        <v>89.3</v>
      </c>
      <c r="AB112" s="114">
        <v>95.1</v>
      </c>
      <c r="AC112" s="114">
        <v>86.3</v>
      </c>
      <c r="AD112" s="114">
        <v>64.099999999999994</v>
      </c>
      <c r="AE112" s="114">
        <v>58.3</v>
      </c>
      <c r="AF112" s="114">
        <v>50.5</v>
      </c>
      <c r="AG112" s="113">
        <v>240</v>
      </c>
      <c r="AH112" s="47">
        <f t="shared" si="26"/>
        <v>102.7</v>
      </c>
      <c r="AI112" s="48">
        <f t="shared" si="27"/>
        <v>23</v>
      </c>
    </row>
    <row r="113" spans="1:37" x14ac:dyDescent="0.25">
      <c r="A113" s="102" t="s">
        <v>121</v>
      </c>
      <c r="B113" s="114">
        <v>-146</v>
      </c>
      <c r="C113" s="114">
        <v>-170</v>
      </c>
      <c r="D113" s="114">
        <v>-169</v>
      </c>
      <c r="E113" s="114">
        <v>-176</v>
      </c>
      <c r="F113" s="114">
        <v>-176</v>
      </c>
      <c r="G113" s="114">
        <v>-176</v>
      </c>
      <c r="H113" s="114">
        <v>-180</v>
      </c>
      <c r="I113" s="114">
        <v>-168.9</v>
      </c>
      <c r="J113" s="114">
        <v>-168.9</v>
      </c>
      <c r="K113" s="114">
        <v>-168.9</v>
      </c>
      <c r="L113" s="114">
        <v>-109.8</v>
      </c>
      <c r="M113" s="114">
        <v>-106</v>
      </c>
      <c r="N113" s="114">
        <v>-110</v>
      </c>
      <c r="O113" s="114">
        <v>-120</v>
      </c>
      <c r="P113" s="114">
        <v>-106</v>
      </c>
      <c r="Q113" s="114">
        <v>-119</v>
      </c>
      <c r="R113" s="114">
        <v>-183</v>
      </c>
      <c r="S113" s="114">
        <v>-183</v>
      </c>
      <c r="T113" s="114">
        <v>-183</v>
      </c>
      <c r="U113" s="114">
        <v>-108</v>
      </c>
      <c r="V113" s="114">
        <v>-166</v>
      </c>
      <c r="W113" s="114">
        <v>-141</v>
      </c>
      <c r="X113" s="114">
        <v>-157</v>
      </c>
      <c r="Y113" s="114">
        <v>-154</v>
      </c>
      <c r="Z113" s="114">
        <v>-140</v>
      </c>
      <c r="AA113" s="114">
        <v>-140</v>
      </c>
      <c r="AB113" s="114">
        <f>-90-95.2</f>
        <v>-185.2</v>
      </c>
      <c r="AC113" s="114">
        <f>-85-90</f>
        <v>-175</v>
      </c>
      <c r="AD113" s="114">
        <f>-88.1-93.7</f>
        <v>-181.8</v>
      </c>
      <c r="AE113" s="114">
        <f>-96-99.1</f>
        <v>-195.1</v>
      </c>
      <c r="AF113" s="114">
        <f>-99.2-104.1</f>
        <v>-203.3</v>
      </c>
      <c r="AG113" s="113">
        <v>240</v>
      </c>
      <c r="AH113" s="47">
        <f t="shared" si="26"/>
        <v>-106</v>
      </c>
      <c r="AI113" s="48">
        <f t="shared" si="27"/>
        <v>-203.3</v>
      </c>
    </row>
    <row r="114" spans="1:37" x14ac:dyDescent="0.25">
      <c r="A114" s="102" t="s">
        <v>122</v>
      </c>
      <c r="B114" s="114">
        <v>-13</v>
      </c>
      <c r="C114" s="114">
        <v>-15</v>
      </c>
      <c r="D114" s="114">
        <v>-12.3</v>
      </c>
      <c r="E114" s="114">
        <v>-13.4</v>
      </c>
      <c r="F114" s="114">
        <v>-13.4</v>
      </c>
      <c r="G114" s="114">
        <v>-13.4</v>
      </c>
      <c r="H114" s="114">
        <v>-9.1999999999999993</v>
      </c>
      <c r="I114" s="114">
        <v>-9.1999999999999993</v>
      </c>
      <c r="J114" s="114">
        <v>-9.1999999999999993</v>
      </c>
      <c r="K114" s="114">
        <v>-9.1999999999999993</v>
      </c>
      <c r="L114" s="114">
        <v>3.6</v>
      </c>
      <c r="M114" s="114">
        <v>2.4</v>
      </c>
      <c r="N114" s="114">
        <v>4.2</v>
      </c>
      <c r="O114" s="114">
        <v>-0.3</v>
      </c>
      <c r="P114" s="114">
        <v>11.6</v>
      </c>
      <c r="Q114" s="114">
        <v>-11.4</v>
      </c>
      <c r="R114" s="114">
        <v>-5.9</v>
      </c>
      <c r="S114" s="114">
        <v>-5.9</v>
      </c>
      <c r="T114" s="114">
        <v>-5.9</v>
      </c>
      <c r="U114" s="114">
        <v>2.5</v>
      </c>
      <c r="V114" s="114">
        <v>-3</v>
      </c>
      <c r="W114" s="114">
        <v>0</v>
      </c>
      <c r="X114" s="114">
        <v>1.5</v>
      </c>
      <c r="Y114" s="114">
        <v>24</v>
      </c>
      <c r="Z114" s="114">
        <v>28</v>
      </c>
      <c r="AA114" s="114">
        <v>28</v>
      </c>
      <c r="AB114" s="114">
        <v>0</v>
      </c>
      <c r="AC114" s="114">
        <v>0.2</v>
      </c>
      <c r="AD114" s="114">
        <v>-9.6</v>
      </c>
      <c r="AE114" s="114">
        <v>-16.3</v>
      </c>
      <c r="AF114" s="114">
        <v>-20.399999999999999</v>
      </c>
      <c r="AG114" s="113">
        <v>60</v>
      </c>
      <c r="AH114" s="47">
        <f t="shared" si="26"/>
        <v>28</v>
      </c>
      <c r="AI114" s="48">
        <f t="shared" si="27"/>
        <v>-20.399999999999999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28</v>
      </c>
      <c r="S115" s="116">
        <v>28</v>
      </c>
      <c r="T115" s="116">
        <v>28</v>
      </c>
      <c r="U115" s="116">
        <v>40.6</v>
      </c>
      <c r="V115" s="116">
        <v>40</v>
      </c>
      <c r="W115" s="116">
        <v>40</v>
      </c>
      <c r="X115" s="116">
        <v>51</v>
      </c>
      <c r="Y115" s="116">
        <v>57</v>
      </c>
      <c r="Z115" s="116">
        <v>47</v>
      </c>
      <c r="AA115" s="116">
        <v>47</v>
      </c>
      <c r="AB115" s="116">
        <v>47.3</v>
      </c>
      <c r="AC115" s="116">
        <v>47.5</v>
      </c>
      <c r="AD115" s="116">
        <v>22.6</v>
      </c>
      <c r="AE115" s="116">
        <v>18.8</v>
      </c>
      <c r="AF115" s="116">
        <v>19</v>
      </c>
      <c r="AG115" s="117">
        <v>120</v>
      </c>
      <c r="AH115" s="47">
        <f t="shared" si="26"/>
        <v>57</v>
      </c>
      <c r="AI115" s="48">
        <f t="shared" si="27"/>
        <v>0</v>
      </c>
    </row>
    <row r="116" spans="1:37" x14ac:dyDescent="0.25">
      <c r="A116" s="115" t="s">
        <v>124</v>
      </c>
      <c r="B116" s="116">
        <v>47</v>
      </c>
      <c r="C116" s="116">
        <v>42</v>
      </c>
      <c r="D116" s="116">
        <v>41.2</v>
      </c>
      <c r="E116" s="116">
        <v>37.799999999999997</v>
      </c>
      <c r="F116" s="116">
        <v>37.799999999999997</v>
      </c>
      <c r="G116" s="116">
        <v>37.799999999999997</v>
      </c>
      <c r="H116" s="116">
        <v>35.9</v>
      </c>
      <c r="I116" s="116">
        <v>35.9</v>
      </c>
      <c r="J116" s="116">
        <v>35.9</v>
      </c>
      <c r="K116" s="116">
        <v>35.9</v>
      </c>
      <c r="L116" s="116">
        <v>65.8</v>
      </c>
      <c r="M116" s="116">
        <v>75.599999999999994</v>
      </c>
      <c r="N116" s="116">
        <v>68.8</v>
      </c>
      <c r="O116" s="116">
        <v>74.3</v>
      </c>
      <c r="P116" s="116">
        <v>91.4</v>
      </c>
      <c r="Q116" s="116">
        <v>79.099999999999994</v>
      </c>
      <c r="R116" s="116">
        <v>22.9</v>
      </c>
      <c r="S116" s="116">
        <v>22.9</v>
      </c>
      <c r="T116" s="116">
        <v>22.9</v>
      </c>
      <c r="U116" s="116">
        <v>41.3</v>
      </c>
      <c r="V116" s="116">
        <v>13</v>
      </c>
      <c r="W116" s="116">
        <v>19</v>
      </c>
      <c r="X116" s="116">
        <v>63</v>
      </c>
      <c r="Y116" s="116">
        <v>11</v>
      </c>
      <c r="Z116" s="116">
        <v>19</v>
      </c>
      <c r="AA116" s="116">
        <v>19</v>
      </c>
      <c r="AB116" s="116">
        <v>31</v>
      </c>
      <c r="AC116" s="116">
        <v>26</v>
      </c>
      <c r="AD116" s="116">
        <v>41.3</v>
      </c>
      <c r="AE116" s="116">
        <v>41.3</v>
      </c>
      <c r="AF116" s="116">
        <v>48.8</v>
      </c>
      <c r="AG116" s="117"/>
      <c r="AH116" s="47">
        <f t="shared" si="26"/>
        <v>91.4</v>
      </c>
      <c r="AI116" s="48">
        <f t="shared" si="27"/>
        <v>11</v>
      </c>
    </row>
    <row r="117" spans="1:37" x14ac:dyDescent="0.25">
      <c r="A117" s="115" t="s">
        <v>125</v>
      </c>
      <c r="B117" s="116">
        <v>23</v>
      </c>
      <c r="C117" s="116">
        <v>18</v>
      </c>
      <c r="D117" s="116">
        <v>18</v>
      </c>
      <c r="E117" s="116">
        <v>12.6</v>
      </c>
      <c r="F117" s="116">
        <v>12.6</v>
      </c>
      <c r="G117" s="116">
        <v>12.6</v>
      </c>
      <c r="H117" s="116">
        <v>8</v>
      </c>
      <c r="I117" s="116">
        <v>-9.4</v>
      </c>
      <c r="J117" s="116">
        <v>-9.4</v>
      </c>
      <c r="K117" s="116">
        <v>-9.4</v>
      </c>
      <c r="L117" s="116">
        <v>17.100000000000001</v>
      </c>
      <c r="M117" s="116">
        <v>-6.4</v>
      </c>
      <c r="N117" s="116">
        <v>-4.0999999999999996</v>
      </c>
      <c r="O117" s="116">
        <v>-9.6</v>
      </c>
      <c r="P117" s="116">
        <v>-6.3</v>
      </c>
      <c r="Q117" s="116">
        <v>-18.7</v>
      </c>
      <c r="R117" s="116">
        <v>-10.4</v>
      </c>
      <c r="S117" s="116">
        <v>-10.4</v>
      </c>
      <c r="T117" s="116">
        <v>-10.4</v>
      </c>
      <c r="U117" s="116">
        <v>-9.6</v>
      </c>
      <c r="V117" s="116">
        <v>-34.700000000000003</v>
      </c>
      <c r="W117" s="116">
        <v>-30</v>
      </c>
      <c r="X117" s="116">
        <v>58</v>
      </c>
      <c r="Y117" s="116">
        <v>-23</v>
      </c>
      <c r="Z117" s="116">
        <v>-4</v>
      </c>
      <c r="AA117" s="116">
        <v>-4</v>
      </c>
      <c r="AB117" s="116">
        <v>-1.7</v>
      </c>
      <c r="AC117" s="116">
        <v>1.7</v>
      </c>
      <c r="AD117" s="116">
        <v>13.9</v>
      </c>
      <c r="AE117" s="116">
        <v>10.1</v>
      </c>
      <c r="AF117" s="116">
        <v>12.5</v>
      </c>
      <c r="AG117" s="118"/>
      <c r="AH117" s="47">
        <f t="shared" si="26"/>
        <v>58</v>
      </c>
      <c r="AI117" s="48">
        <f t="shared" si="27"/>
        <v>-34.700000000000003</v>
      </c>
    </row>
    <row r="118" spans="1:37" x14ac:dyDescent="0.25">
      <c r="A118" s="119" t="s">
        <v>126</v>
      </c>
      <c r="B118" s="105">
        <v>50</v>
      </c>
      <c r="C118" s="105">
        <v>52</v>
      </c>
      <c r="D118" s="105">
        <v>52</v>
      </c>
      <c r="E118" s="105">
        <v>52</v>
      </c>
      <c r="F118" s="105">
        <v>52</v>
      </c>
      <c r="G118" s="105">
        <v>52</v>
      </c>
      <c r="H118" s="105">
        <v>65.099999999999994</v>
      </c>
      <c r="I118" s="105">
        <v>65.099999999999994</v>
      </c>
      <c r="J118" s="105">
        <v>65.099999999999994</v>
      </c>
      <c r="K118" s="105">
        <v>65.099999999999994</v>
      </c>
      <c r="L118" s="105">
        <v>53.6</v>
      </c>
      <c r="M118" s="105">
        <v>49.4</v>
      </c>
      <c r="N118" s="105">
        <v>48.8</v>
      </c>
      <c r="O118" s="105">
        <v>46.2</v>
      </c>
      <c r="P118" s="105">
        <v>39</v>
      </c>
      <c r="Q118" s="105">
        <v>37.6</v>
      </c>
      <c r="R118" s="105">
        <v>45.1</v>
      </c>
      <c r="S118" s="105">
        <v>45.1</v>
      </c>
      <c r="T118" s="105">
        <v>45.1</v>
      </c>
      <c r="U118" s="105">
        <v>43</v>
      </c>
      <c r="V118" s="105">
        <v>41.3</v>
      </c>
      <c r="W118" s="105">
        <v>40</v>
      </c>
      <c r="X118" s="105">
        <v>39</v>
      </c>
      <c r="Y118" s="105">
        <v>29</v>
      </c>
      <c r="Z118" s="105">
        <v>33</v>
      </c>
      <c r="AA118" s="105">
        <v>33</v>
      </c>
      <c r="AB118" s="105">
        <v>41.2</v>
      </c>
      <c r="AC118" s="105">
        <v>40.200000000000003</v>
      </c>
      <c r="AD118" s="105">
        <v>41.1</v>
      </c>
      <c r="AE118" s="105">
        <v>45.1</v>
      </c>
      <c r="AF118" s="105">
        <v>50.7</v>
      </c>
      <c r="AG118" s="118"/>
      <c r="AH118" s="47">
        <f t="shared" si="26"/>
        <v>65.099999999999994</v>
      </c>
      <c r="AI118" s="48">
        <f t="shared" si="27"/>
        <v>29</v>
      </c>
    </row>
    <row r="119" spans="1:37" x14ac:dyDescent="0.25">
      <c r="A119" s="120" t="s">
        <v>127</v>
      </c>
      <c r="B119" s="105">
        <v>87</v>
      </c>
      <c r="C119" s="105">
        <v>90</v>
      </c>
      <c r="D119" s="105">
        <v>88.6</v>
      </c>
      <c r="E119" s="105">
        <v>88.6</v>
      </c>
      <c r="F119" s="105">
        <v>88.6</v>
      </c>
      <c r="G119" s="105">
        <v>88.6</v>
      </c>
      <c r="H119" s="105">
        <v>91.2</v>
      </c>
      <c r="I119" s="105">
        <v>87.6</v>
      </c>
      <c r="J119" s="105">
        <v>84.5</v>
      </c>
      <c r="K119" s="105">
        <v>92.5</v>
      </c>
      <c r="L119" s="105">
        <v>92.3</v>
      </c>
      <c r="M119" s="105">
        <v>89</v>
      </c>
      <c r="N119" s="105">
        <v>96.5</v>
      </c>
      <c r="O119" s="105">
        <v>92.8</v>
      </c>
      <c r="P119" s="105">
        <v>95</v>
      </c>
      <c r="Q119" s="105">
        <v>98.8</v>
      </c>
      <c r="R119" s="105">
        <v>84.7</v>
      </c>
      <c r="S119" s="105">
        <v>84.7</v>
      </c>
      <c r="T119" s="105">
        <v>84.7</v>
      </c>
      <c r="U119" s="105">
        <v>80</v>
      </c>
      <c r="V119" s="105">
        <v>89</v>
      </c>
      <c r="W119" s="105">
        <v>79</v>
      </c>
      <c r="X119" s="105">
        <v>37</v>
      </c>
      <c r="Y119" s="105">
        <v>97</v>
      </c>
      <c r="Z119" s="105">
        <v>81</v>
      </c>
      <c r="AA119" s="105">
        <v>81</v>
      </c>
      <c r="AB119" s="105">
        <v>92.1</v>
      </c>
      <c r="AC119" s="105">
        <v>95.5</v>
      </c>
      <c r="AD119" s="105">
        <v>92.5</v>
      </c>
      <c r="AE119" s="105">
        <v>93.7</v>
      </c>
      <c r="AF119" s="105">
        <v>91.5</v>
      </c>
      <c r="AG119" s="118"/>
      <c r="AH119" s="47">
        <f t="shared" si="26"/>
        <v>98.8</v>
      </c>
      <c r="AI119" s="48">
        <f t="shared" si="27"/>
        <v>37</v>
      </c>
    </row>
    <row r="120" spans="1:37" ht="15.75" thickBot="1" x14ac:dyDescent="0.3">
      <c r="A120" s="119" t="s">
        <v>128</v>
      </c>
      <c r="B120" s="105">
        <v>27</v>
      </c>
      <c r="C120" s="105">
        <v>22</v>
      </c>
      <c r="D120" s="105">
        <v>22</v>
      </c>
      <c r="E120" s="105">
        <v>22</v>
      </c>
      <c r="F120" s="105">
        <v>22</v>
      </c>
      <c r="G120" s="105">
        <v>22</v>
      </c>
      <c r="H120" s="105">
        <v>0.2</v>
      </c>
      <c r="I120" s="105">
        <v>7.8</v>
      </c>
      <c r="J120" s="105">
        <v>7.8</v>
      </c>
      <c r="K120" s="105">
        <v>7.8</v>
      </c>
      <c r="L120" s="105">
        <v>2.5</v>
      </c>
      <c r="M120" s="105">
        <v>-2.2999999999999998</v>
      </c>
      <c r="N120" s="105">
        <v>5.4</v>
      </c>
      <c r="O120" s="105">
        <v>4.8</v>
      </c>
      <c r="P120" s="105">
        <v>14.5</v>
      </c>
      <c r="Q120" s="105">
        <v>13.3</v>
      </c>
      <c r="R120" s="105">
        <v>13.2</v>
      </c>
      <c r="S120" s="105">
        <v>13.2</v>
      </c>
      <c r="T120" s="105">
        <v>13.2</v>
      </c>
      <c r="U120" s="105">
        <v>9</v>
      </c>
      <c r="V120" s="105">
        <v>10</v>
      </c>
      <c r="W120" s="105">
        <v>8</v>
      </c>
      <c r="X120" s="105">
        <v>12</v>
      </c>
      <c r="Y120" s="105">
        <v>31</v>
      </c>
      <c r="Z120" s="105">
        <v>31</v>
      </c>
      <c r="AA120" s="105">
        <v>31</v>
      </c>
      <c r="AB120" s="105">
        <v>35.299999999999997</v>
      </c>
      <c r="AC120" s="105" t="s">
        <v>284</v>
      </c>
      <c r="AD120" s="105">
        <v>40.799999999999997</v>
      </c>
      <c r="AE120" s="105">
        <v>38.1</v>
      </c>
      <c r="AF120" s="105">
        <v>31.5</v>
      </c>
      <c r="AG120" s="118"/>
      <c r="AH120" s="47">
        <f t="shared" si="26"/>
        <v>40.799999999999997</v>
      </c>
      <c r="AI120" s="48">
        <f t="shared" si="27"/>
        <v>-2.2999999999999998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6"/>
      <c r="E122" s="126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6"/>
      <c r="E123" s="126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6"/>
      <c r="E124" s="126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6"/>
      <c r="E125" s="126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6"/>
      <c r="E126" s="126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6"/>
      <c r="E127" s="126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6"/>
      <c r="E128" s="126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6"/>
      <c r="E129" s="126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6"/>
      <c r="E130" s="126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6"/>
      <c r="E131" s="126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6"/>
      <c r="E132" s="126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6"/>
      <c r="E133" s="126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6"/>
      <c r="E134" s="126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6"/>
      <c r="E135" s="126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6"/>
      <c r="E136" s="126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6"/>
      <c r="E137" s="126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9"/>
      <c r="E138" s="129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9"/>
      <c r="E139" s="129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9"/>
      <c r="E140" s="129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9"/>
      <c r="E141" s="129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9"/>
      <c r="E142" s="129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9"/>
      <c r="E143" s="129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9"/>
      <c r="E144" s="129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9"/>
      <c r="E145" s="129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9"/>
      <c r="E146" s="129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9"/>
      <c r="E147" s="129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9"/>
      <c r="E148" s="129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9"/>
      <c r="E149" s="129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9"/>
      <c r="E150" s="129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9"/>
      <c r="E151" s="129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9"/>
      <c r="E152" s="129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9"/>
      <c r="E153" s="129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9"/>
      <c r="E154" s="129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9"/>
      <c r="E155" s="129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9"/>
      <c r="E156" s="129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9"/>
      <c r="E157" s="129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9"/>
      <c r="E158" s="129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9"/>
      <c r="E159" s="129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9"/>
      <c r="E160" s="129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9"/>
      <c r="E161" s="129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9"/>
      <c r="E162" s="129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9"/>
      <c r="E163" s="129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9"/>
      <c r="E164" s="129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9"/>
      <c r="E165" s="129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9"/>
      <c r="E166" s="129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9"/>
      <c r="E167" s="129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9"/>
      <c r="E168" s="129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9"/>
      <c r="E169" s="129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9"/>
      <c r="E170" s="129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9"/>
      <c r="E171" s="129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9"/>
      <c r="E172" s="129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9"/>
      <c r="E173" s="129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9"/>
      <c r="E174" s="129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9"/>
      <c r="E175" s="129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9"/>
      <c r="E176" s="129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9"/>
      <c r="E177" s="129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9"/>
      <c r="E178" s="129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9"/>
      <c r="E179" s="129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9"/>
      <c r="E180" s="129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9"/>
      <c r="E181" s="129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9"/>
      <c r="E182" s="129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9"/>
      <c r="E183" s="129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9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9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9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9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9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9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9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9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9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9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9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71">SUM(B122:B226)</f>
        <v>0</v>
      </c>
      <c r="C227" s="136">
        <f t="shared" si="71"/>
        <v>0</v>
      </c>
      <c r="D227" s="136">
        <f t="shared" si="71"/>
        <v>0</v>
      </c>
      <c r="E227" s="136">
        <f t="shared" si="71"/>
        <v>0</v>
      </c>
      <c r="F227" s="136">
        <f t="shared" si="71"/>
        <v>0</v>
      </c>
      <c r="G227" s="136">
        <f t="shared" si="71"/>
        <v>0</v>
      </c>
      <c r="H227" s="136">
        <f t="shared" si="71"/>
        <v>0</v>
      </c>
      <c r="I227" s="136">
        <f t="shared" si="71"/>
        <v>0</v>
      </c>
      <c r="J227" s="136">
        <f t="shared" si="71"/>
        <v>0</v>
      </c>
      <c r="K227" s="136">
        <f t="shared" si="71"/>
        <v>0</v>
      </c>
      <c r="L227" s="136">
        <f t="shared" si="71"/>
        <v>0</v>
      </c>
      <c r="M227" s="136">
        <f t="shared" si="71"/>
        <v>0</v>
      </c>
      <c r="N227" s="136">
        <f t="shared" si="71"/>
        <v>0</v>
      </c>
      <c r="O227" s="136">
        <f t="shared" si="71"/>
        <v>0</v>
      </c>
      <c r="P227" s="136">
        <f t="shared" si="71"/>
        <v>0</v>
      </c>
      <c r="Q227" s="136">
        <f t="shared" si="71"/>
        <v>0</v>
      </c>
      <c r="R227" s="136">
        <f t="shared" si="71"/>
        <v>0</v>
      </c>
      <c r="S227" s="136">
        <f t="shared" si="71"/>
        <v>0</v>
      </c>
      <c r="T227" s="136">
        <f t="shared" si="71"/>
        <v>0</v>
      </c>
      <c r="U227" s="136">
        <f t="shared" si="71"/>
        <v>0</v>
      </c>
      <c r="V227" s="136">
        <f t="shared" si="71"/>
        <v>0</v>
      </c>
      <c r="W227" s="136">
        <f t="shared" si="71"/>
        <v>0</v>
      </c>
      <c r="X227" s="136">
        <f t="shared" si="71"/>
        <v>0</v>
      </c>
      <c r="Y227" s="136">
        <f t="shared" si="71"/>
        <v>0</v>
      </c>
      <c r="Z227" s="136">
        <f t="shared" si="71"/>
        <v>0</v>
      </c>
      <c r="AA227" s="136">
        <f t="shared" si="71"/>
        <v>0</v>
      </c>
      <c r="AB227" s="136">
        <f t="shared" si="71"/>
        <v>0</v>
      </c>
      <c r="AC227" s="136">
        <f t="shared" si="71"/>
        <v>0</v>
      </c>
      <c r="AD227" s="136">
        <f t="shared" si="71"/>
        <v>0</v>
      </c>
      <c r="AE227" s="136">
        <f t="shared" si="71"/>
        <v>0</v>
      </c>
      <c r="AF227" s="137">
        <f t="shared" si="71"/>
        <v>0</v>
      </c>
      <c r="AG227" s="138">
        <f t="shared" si="71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72">AF229</f>
        <v>0</v>
      </c>
      <c r="C229" s="140">
        <v>0.3</v>
      </c>
      <c r="D229" s="140">
        <f t="shared" ref="D229:P234" si="73">C229</f>
        <v>0.3</v>
      </c>
      <c r="E229" s="140">
        <f t="shared" si="73"/>
        <v>0.3</v>
      </c>
      <c r="F229" s="140">
        <f t="shared" si="73"/>
        <v>0.3</v>
      </c>
      <c r="G229" s="140">
        <f t="shared" si="73"/>
        <v>0.3</v>
      </c>
      <c r="H229" s="140">
        <f t="shared" si="73"/>
        <v>0.3</v>
      </c>
      <c r="I229" s="140">
        <f t="shared" si="73"/>
        <v>0.3</v>
      </c>
      <c r="J229" s="140">
        <f t="shared" si="73"/>
        <v>0.3</v>
      </c>
      <c r="K229" s="140">
        <f t="shared" si="73"/>
        <v>0.3</v>
      </c>
      <c r="L229" s="140">
        <f t="shared" si="73"/>
        <v>0.3</v>
      </c>
      <c r="M229" s="140">
        <f t="shared" si="73"/>
        <v>0.3</v>
      </c>
      <c r="N229" s="140">
        <f t="shared" si="73"/>
        <v>0.3</v>
      </c>
      <c r="O229" s="140">
        <f t="shared" si="73"/>
        <v>0.3</v>
      </c>
      <c r="P229" s="140">
        <f t="shared" si="73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72"/>
        <v>0</v>
      </c>
      <c r="C230" s="128">
        <v>0.4</v>
      </c>
      <c r="D230" s="128">
        <f t="shared" si="73"/>
        <v>0.4</v>
      </c>
      <c r="E230" s="128">
        <f t="shared" si="73"/>
        <v>0.4</v>
      </c>
      <c r="F230" s="128">
        <f t="shared" si="73"/>
        <v>0.4</v>
      </c>
      <c r="G230" s="128">
        <f t="shared" si="73"/>
        <v>0.4</v>
      </c>
      <c r="H230" s="128">
        <f t="shared" si="73"/>
        <v>0.4</v>
      </c>
      <c r="I230" s="128">
        <f t="shared" si="73"/>
        <v>0.4</v>
      </c>
      <c r="J230" s="128">
        <f t="shared" si="73"/>
        <v>0.4</v>
      </c>
      <c r="K230" s="128">
        <f t="shared" si="73"/>
        <v>0.4</v>
      </c>
      <c r="L230" s="128">
        <f t="shared" si="73"/>
        <v>0.4</v>
      </c>
      <c r="M230" s="128">
        <f t="shared" si="73"/>
        <v>0.4</v>
      </c>
      <c r="N230" s="128">
        <f t="shared" si="73"/>
        <v>0.4</v>
      </c>
      <c r="O230" s="128">
        <f t="shared" si="73"/>
        <v>0.4</v>
      </c>
      <c r="P230" s="128">
        <f t="shared" si="73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72"/>
        <v>0</v>
      </c>
      <c r="C231" s="128">
        <v>1.5</v>
      </c>
      <c r="D231" s="128">
        <f t="shared" si="73"/>
        <v>1.5</v>
      </c>
      <c r="E231" s="128">
        <f t="shared" si="73"/>
        <v>1.5</v>
      </c>
      <c r="F231" s="128">
        <f t="shared" si="73"/>
        <v>1.5</v>
      </c>
      <c r="G231" s="128">
        <f t="shared" si="73"/>
        <v>1.5</v>
      </c>
      <c r="H231" s="128">
        <f t="shared" si="73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73"/>
        <v>123.21900000000009</v>
      </c>
      <c r="K231" s="128">
        <f t="shared" ca="1" si="73"/>
        <v>123.21900000000009</v>
      </c>
      <c r="L231" s="128">
        <f t="shared" ca="1" si="73"/>
        <v>123.21900000000009</v>
      </c>
      <c r="M231" s="128">
        <f t="shared" ca="1" si="73"/>
        <v>119.19900000000008</v>
      </c>
      <c r="N231" s="128">
        <f t="shared" ca="1" si="73"/>
        <v>119.19900000000008</v>
      </c>
      <c r="O231" s="128">
        <f t="shared" ca="1" si="73"/>
        <v>119.19900000000008</v>
      </c>
      <c r="P231" s="128">
        <f t="shared" ca="1" si="73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72"/>
        <v>0</v>
      </c>
      <c r="C232" s="128">
        <v>0.3</v>
      </c>
      <c r="D232" s="128">
        <f t="shared" si="73"/>
        <v>0.3</v>
      </c>
      <c r="E232" s="128">
        <f t="shared" si="73"/>
        <v>0.3</v>
      </c>
      <c r="F232" s="128">
        <f t="shared" si="73"/>
        <v>0.3</v>
      </c>
      <c r="G232" s="128">
        <f t="shared" si="73"/>
        <v>0.3</v>
      </c>
      <c r="H232" s="128">
        <f t="shared" si="73"/>
        <v>0.3</v>
      </c>
      <c r="I232" s="128">
        <f t="shared" si="73"/>
        <v>0.3</v>
      </c>
      <c r="J232" s="128">
        <f t="shared" si="73"/>
        <v>0.3</v>
      </c>
      <c r="K232" s="128">
        <f t="shared" si="73"/>
        <v>0.3</v>
      </c>
      <c r="L232" s="128">
        <f t="shared" si="73"/>
        <v>0.3</v>
      </c>
      <c r="M232" s="128">
        <f t="shared" si="73"/>
        <v>0.3</v>
      </c>
      <c r="N232" s="128">
        <f t="shared" si="73"/>
        <v>0.3</v>
      </c>
      <c r="O232" s="128">
        <f t="shared" si="73"/>
        <v>0.3</v>
      </c>
      <c r="P232" s="128">
        <f t="shared" si="73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72"/>
        <v>0</v>
      </c>
      <c r="C233" s="128">
        <v>0.4</v>
      </c>
      <c r="D233" s="128">
        <f t="shared" si="73"/>
        <v>0.4</v>
      </c>
      <c r="E233" s="128">
        <f t="shared" si="73"/>
        <v>0.4</v>
      </c>
      <c r="F233" s="128">
        <f t="shared" si="73"/>
        <v>0.4</v>
      </c>
      <c r="G233" s="128">
        <f t="shared" si="73"/>
        <v>0.4</v>
      </c>
      <c r="H233" s="128">
        <f t="shared" si="73"/>
        <v>0.4</v>
      </c>
      <c r="I233" s="128">
        <f t="shared" si="73"/>
        <v>0.4</v>
      </c>
      <c r="J233" s="128">
        <f t="shared" si="73"/>
        <v>0.4</v>
      </c>
      <c r="K233" s="128">
        <f t="shared" si="73"/>
        <v>0.4</v>
      </c>
      <c r="L233" s="128">
        <f t="shared" si="73"/>
        <v>0.4</v>
      </c>
      <c r="M233" s="128">
        <f t="shared" si="73"/>
        <v>0.4</v>
      </c>
      <c r="N233" s="128">
        <f t="shared" si="73"/>
        <v>0.4</v>
      </c>
      <c r="O233" s="128">
        <f t="shared" si="73"/>
        <v>0.4</v>
      </c>
      <c r="P233" s="128">
        <f t="shared" si="73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72"/>
        <v>0</v>
      </c>
      <c r="C234" s="132">
        <v>0.64</v>
      </c>
      <c r="D234" s="132">
        <f t="shared" si="73"/>
        <v>0.64</v>
      </c>
      <c r="E234" s="132">
        <f t="shared" si="73"/>
        <v>0.64</v>
      </c>
      <c r="F234" s="132">
        <f t="shared" si="73"/>
        <v>0.64</v>
      </c>
      <c r="G234" s="132">
        <f t="shared" si="73"/>
        <v>0.64</v>
      </c>
      <c r="H234" s="132">
        <f t="shared" si="73"/>
        <v>0.64</v>
      </c>
      <c r="I234" s="132">
        <f t="shared" si="73"/>
        <v>0.64</v>
      </c>
      <c r="J234" s="132">
        <f t="shared" si="73"/>
        <v>0.64</v>
      </c>
      <c r="K234" s="132">
        <f t="shared" si="73"/>
        <v>0.64</v>
      </c>
      <c r="L234" s="132">
        <f t="shared" si="73"/>
        <v>0.64</v>
      </c>
      <c r="M234" s="132">
        <f t="shared" si="73"/>
        <v>0.64</v>
      </c>
      <c r="N234" s="132">
        <f t="shared" si="73"/>
        <v>0.64</v>
      </c>
      <c r="O234" s="132">
        <f t="shared" si="73"/>
        <v>0.64</v>
      </c>
      <c r="P234" s="132">
        <f t="shared" si="73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74">SUM(B229:B234)</f>
        <v>0</v>
      </c>
      <c r="C235" s="136">
        <f t="shared" si="74"/>
        <v>3.54</v>
      </c>
      <c r="D235" s="136">
        <f t="shared" si="74"/>
        <v>3.54</v>
      </c>
      <c r="E235" s="136">
        <f t="shared" si="74"/>
        <v>3.54</v>
      </c>
      <c r="F235" s="136">
        <f t="shared" si="74"/>
        <v>3.54</v>
      </c>
      <c r="G235" s="136">
        <f t="shared" si="74"/>
        <v>3.54</v>
      </c>
      <c r="H235" s="136">
        <f t="shared" si="74"/>
        <v>3.54</v>
      </c>
      <c r="I235" s="136">
        <f t="shared" ca="1" si="74"/>
        <v>121.23900000000009</v>
      </c>
      <c r="J235" s="136">
        <f t="shared" ca="1" si="74"/>
        <v>121.23900000000009</v>
      </c>
      <c r="K235" s="136">
        <f t="shared" ca="1" si="74"/>
        <v>121.23900000000009</v>
      </c>
      <c r="L235" s="136">
        <f t="shared" ca="1" si="74"/>
        <v>125.2590000000001</v>
      </c>
      <c r="M235" s="136">
        <f t="shared" ca="1" si="74"/>
        <v>121.23900000000009</v>
      </c>
      <c r="N235" s="136">
        <f t="shared" ca="1" si="74"/>
        <v>121.23900000000009</v>
      </c>
      <c r="O235" s="136">
        <f t="shared" ca="1" si="74"/>
        <v>121.23900000000009</v>
      </c>
      <c r="P235" s="136">
        <f t="shared" ca="1" si="74"/>
        <v>121.23900000000009</v>
      </c>
      <c r="Q235" s="136">
        <f t="shared" si="74"/>
        <v>0</v>
      </c>
      <c r="R235" s="136">
        <f t="shared" si="74"/>
        <v>0</v>
      </c>
      <c r="S235" s="136">
        <f t="shared" si="74"/>
        <v>0</v>
      </c>
      <c r="T235" s="136">
        <f t="shared" si="74"/>
        <v>0</v>
      </c>
      <c r="U235" s="136">
        <f t="shared" si="74"/>
        <v>0</v>
      </c>
      <c r="V235" s="136">
        <f t="shared" si="74"/>
        <v>0</v>
      </c>
      <c r="W235" s="136">
        <f t="shared" si="74"/>
        <v>0</v>
      </c>
      <c r="X235" s="136">
        <f t="shared" si="74"/>
        <v>0</v>
      </c>
      <c r="Y235" s="136">
        <f t="shared" si="74"/>
        <v>0</v>
      </c>
      <c r="Z235" s="136">
        <f t="shared" si="74"/>
        <v>0</v>
      </c>
      <c r="AA235" s="136">
        <f t="shared" si="74"/>
        <v>0</v>
      </c>
      <c r="AB235" s="136">
        <f t="shared" si="74"/>
        <v>0</v>
      </c>
      <c r="AC235" s="136">
        <f t="shared" si="74"/>
        <v>0</v>
      </c>
      <c r="AD235" s="136">
        <f t="shared" si="74"/>
        <v>0</v>
      </c>
      <c r="AE235" s="136">
        <f t="shared" si="74"/>
        <v>0</v>
      </c>
      <c r="AF235" s="136">
        <f t="shared" si="74"/>
        <v>0</v>
      </c>
      <c r="AG235" s="145">
        <f t="shared" si="74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2131.1400000000003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2080/05/26)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75">B91</f>
        <v>2046.54</v>
      </c>
      <c r="U249" s="170">
        <f t="shared" si="75"/>
        <v>2034.54</v>
      </c>
      <c r="V249" s="170">
        <f t="shared" si="75"/>
        <v>2022.94</v>
      </c>
      <c r="W249" s="170">
        <f t="shared" si="75"/>
        <v>2030.3400000000001</v>
      </c>
      <c r="X249" s="170">
        <f t="shared" si="75"/>
        <v>2030.3400000000001</v>
      </c>
      <c r="Y249" s="170">
        <f t="shared" si="75"/>
        <v>2029.54</v>
      </c>
      <c r="Z249" s="170">
        <f t="shared" si="75"/>
        <v>2020.44</v>
      </c>
      <c r="AA249" s="170">
        <f t="shared" si="75"/>
        <v>2041.3400000000001</v>
      </c>
      <c r="AB249" s="170">
        <f t="shared" si="75"/>
        <v>2046.04</v>
      </c>
      <c r="AC249" s="170">
        <f t="shared" si="75"/>
        <v>2046.64</v>
      </c>
      <c r="AD249" s="170">
        <f t="shared" si="75"/>
        <v>2118.7400000000002</v>
      </c>
      <c r="AE249" s="170">
        <f t="shared" si="75"/>
        <v>2131.1400000000003</v>
      </c>
      <c r="AF249" s="170">
        <f t="shared" si="75"/>
        <v>2084.04</v>
      </c>
      <c r="AG249" s="170">
        <f t="shared" si="75"/>
        <v>2045.8400000000001</v>
      </c>
      <c r="AH249" s="170">
        <f t="shared" si="75"/>
        <v>2044.2400000000002</v>
      </c>
      <c r="AI249" s="170">
        <f t="shared" si="75"/>
        <v>2049.6400000000003</v>
      </c>
      <c r="AJ249" s="170">
        <f t="shared" si="75"/>
        <v>2139.34</v>
      </c>
      <c r="AK249" s="170">
        <f t="shared" si="75"/>
        <v>2129.9399999999996</v>
      </c>
      <c r="AL249" s="170">
        <f t="shared" si="75"/>
        <v>2135.54</v>
      </c>
      <c r="AM249" s="170">
        <f t="shared" si="75"/>
        <v>2144.7399999999998</v>
      </c>
      <c r="AN249" s="170">
        <f t="shared" si="75"/>
        <v>2145.44</v>
      </c>
      <c r="AO249" s="170">
        <f t="shared" si="75"/>
        <v>2120.44</v>
      </c>
      <c r="AP249" s="170">
        <f t="shared" si="75"/>
        <v>2054.84</v>
      </c>
      <c r="AQ249" s="170">
        <f t="shared" si="75"/>
        <v>2186.44</v>
      </c>
      <c r="AR249" s="170">
        <f t="shared" si="75"/>
        <v>2209.54</v>
      </c>
      <c r="AS249" s="170">
        <f t="shared" si="75"/>
        <v>2184.3399999999997</v>
      </c>
      <c r="AT249" s="170">
        <f t="shared" si="75"/>
        <v>2149.4400000000005</v>
      </c>
      <c r="AU249" s="170">
        <f t="shared" si="75"/>
        <v>2143.34</v>
      </c>
      <c r="AV249" s="170">
        <f t="shared" si="75"/>
        <v>2128.04</v>
      </c>
      <c r="AW249" s="170">
        <f t="shared" si="75"/>
        <v>2105.7400000000002</v>
      </c>
      <c r="AX249" s="170">
        <f t="shared" si="75"/>
        <v>2107.1400000000003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76">C234</f>
        <v>0.64</v>
      </c>
      <c r="C270" s="173">
        <f t="shared" si="76"/>
        <v>0.64</v>
      </c>
      <c r="D270" s="173">
        <f t="shared" si="76"/>
        <v>0.64</v>
      </c>
      <c r="E270" s="173">
        <f t="shared" si="76"/>
        <v>0.64</v>
      </c>
      <c r="F270" s="173">
        <f t="shared" si="76"/>
        <v>0.64</v>
      </c>
      <c r="G270" s="173">
        <f t="shared" si="76"/>
        <v>0.64</v>
      </c>
      <c r="H270" s="173">
        <f t="shared" si="76"/>
        <v>0.64</v>
      </c>
      <c r="I270" s="173">
        <f t="shared" si="76"/>
        <v>0.64</v>
      </c>
      <c r="J270" s="173">
        <f t="shared" si="76"/>
        <v>0.64</v>
      </c>
      <c r="K270" s="173">
        <f t="shared" si="76"/>
        <v>0.64</v>
      </c>
      <c r="L270" s="173">
        <f t="shared" si="76"/>
        <v>0.64</v>
      </c>
      <c r="M270" s="173">
        <f t="shared" si="76"/>
        <v>0.64</v>
      </c>
      <c r="N270" s="173">
        <f t="shared" si="76"/>
        <v>0.64</v>
      </c>
      <c r="O270" s="173">
        <f t="shared" si="76"/>
        <v>0.64</v>
      </c>
      <c r="P270" s="173">
        <f t="shared" si="76"/>
        <v>0</v>
      </c>
      <c r="Q270" s="173">
        <f t="shared" si="76"/>
        <v>0</v>
      </c>
      <c r="R270" s="173">
        <f t="shared" si="76"/>
        <v>0</v>
      </c>
      <c r="S270" s="173">
        <f t="shared" si="76"/>
        <v>0</v>
      </c>
      <c r="T270" s="173">
        <f t="shared" si="76"/>
        <v>0</v>
      </c>
      <c r="U270" s="173">
        <f t="shared" si="76"/>
        <v>0</v>
      </c>
      <c r="V270" s="173">
        <f t="shared" si="76"/>
        <v>0</v>
      </c>
      <c r="W270" s="173">
        <f t="shared" si="76"/>
        <v>0</v>
      </c>
      <c r="X270" s="173">
        <f t="shared" si="76"/>
        <v>0</v>
      </c>
      <c r="Y270" s="173">
        <f t="shared" si="76"/>
        <v>0</v>
      </c>
      <c r="Z270" s="173">
        <f t="shared" si="76"/>
        <v>0</v>
      </c>
      <c r="AA270" s="173">
        <f t="shared" si="76"/>
        <v>0</v>
      </c>
      <c r="AB270" s="173">
        <f t="shared" si="76"/>
        <v>0</v>
      </c>
      <c r="AC270" s="173">
        <f t="shared" si="76"/>
        <v>0</v>
      </c>
      <c r="AD270" s="173">
        <f t="shared" si="76"/>
        <v>0</v>
      </c>
      <c r="AE270" s="173">
        <f t="shared" si="76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77">IF(B238&lt;100,"",B238-520)</f>
        <v/>
      </c>
      <c r="C271" s="174" t="str">
        <f t="shared" si="77"/>
        <v/>
      </c>
      <c r="D271" s="174" t="str">
        <f t="shared" si="77"/>
        <v/>
      </c>
      <c r="E271" s="174" t="str">
        <f t="shared" si="77"/>
        <v/>
      </c>
      <c r="F271" s="174" t="str">
        <f t="shared" si="77"/>
        <v/>
      </c>
      <c r="G271" s="174" t="str">
        <f t="shared" si="77"/>
        <v/>
      </c>
      <c r="H271" s="174" t="str">
        <f t="shared" si="77"/>
        <v/>
      </c>
      <c r="I271" s="174" t="str">
        <f t="shared" si="77"/>
        <v/>
      </c>
      <c r="J271" s="174" t="str">
        <f t="shared" si="77"/>
        <v/>
      </c>
      <c r="K271" s="174" t="str">
        <f t="shared" si="77"/>
        <v/>
      </c>
      <c r="L271" s="174" t="str">
        <f t="shared" si="77"/>
        <v/>
      </c>
      <c r="M271" s="174" t="str">
        <f t="shared" si="77"/>
        <v/>
      </c>
      <c r="N271" s="174" t="str">
        <f t="shared" si="77"/>
        <v/>
      </c>
      <c r="O271" s="174" t="str">
        <f t="shared" si="77"/>
        <v/>
      </c>
      <c r="P271" s="174" t="str">
        <f t="shared" si="77"/>
        <v/>
      </c>
      <c r="Q271" s="174" t="str">
        <f t="shared" si="77"/>
        <v/>
      </c>
      <c r="R271" s="174" t="str">
        <f t="shared" si="77"/>
        <v/>
      </c>
      <c r="S271" s="174" t="str">
        <f t="shared" si="77"/>
        <v/>
      </c>
      <c r="T271" s="174" t="str">
        <f t="shared" si="77"/>
        <v/>
      </c>
      <c r="U271" s="174" t="str">
        <f t="shared" si="77"/>
        <v/>
      </c>
      <c r="V271" s="174" t="str">
        <f t="shared" si="77"/>
        <v/>
      </c>
      <c r="W271" s="174" t="str">
        <f t="shared" si="77"/>
        <v/>
      </c>
      <c r="X271" s="174" t="str">
        <f t="shared" si="77"/>
        <v/>
      </c>
      <c r="Y271" s="174" t="str">
        <f t="shared" si="77"/>
        <v/>
      </c>
      <c r="Z271" s="174" t="str">
        <f t="shared" si="77"/>
        <v/>
      </c>
      <c r="AA271" s="174" t="str">
        <f t="shared" si="77"/>
        <v/>
      </c>
      <c r="AB271" s="174" t="str">
        <f t="shared" si="77"/>
        <v/>
      </c>
      <c r="AC271" s="174" t="str">
        <f t="shared" si="77"/>
        <v/>
      </c>
      <c r="AD271" s="174" t="str">
        <f t="shared" si="77"/>
        <v/>
      </c>
      <c r="AE271" s="174" t="str">
        <f t="shared" si="77"/>
        <v/>
      </c>
      <c r="AF271" s="174" t="str">
        <f t="shared" si="77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78">IF(B239&lt;100,"",B239-620)</f>
        <v/>
      </c>
      <c r="C272" s="174" t="str">
        <f t="shared" si="78"/>
        <v/>
      </c>
      <c r="D272" s="174" t="str">
        <f t="shared" si="78"/>
        <v/>
      </c>
      <c r="E272" s="174" t="str">
        <f t="shared" si="78"/>
        <v/>
      </c>
      <c r="F272" s="174" t="str">
        <f t="shared" si="78"/>
        <v/>
      </c>
      <c r="G272" s="174" t="str">
        <f t="shared" si="78"/>
        <v/>
      </c>
      <c r="H272" s="174" t="str">
        <f t="shared" si="78"/>
        <v/>
      </c>
      <c r="I272" s="174" t="str">
        <f t="shared" si="78"/>
        <v/>
      </c>
      <c r="J272" s="174" t="str">
        <f t="shared" si="78"/>
        <v/>
      </c>
      <c r="K272" s="174" t="str">
        <f t="shared" si="78"/>
        <v/>
      </c>
      <c r="L272" s="174" t="str">
        <f t="shared" si="78"/>
        <v/>
      </c>
      <c r="M272" s="174" t="str">
        <f t="shared" si="78"/>
        <v/>
      </c>
      <c r="N272" s="174" t="str">
        <f t="shared" si="78"/>
        <v/>
      </c>
      <c r="O272" s="174" t="str">
        <f t="shared" si="78"/>
        <v/>
      </c>
      <c r="P272" s="174" t="str">
        <f t="shared" si="78"/>
        <v/>
      </c>
      <c r="Q272" s="174" t="str">
        <f t="shared" si="78"/>
        <v/>
      </c>
      <c r="R272" s="174" t="str">
        <f t="shared" si="78"/>
        <v/>
      </c>
      <c r="S272" s="174" t="str">
        <f t="shared" si="78"/>
        <v/>
      </c>
      <c r="T272" s="174" t="str">
        <f t="shared" si="78"/>
        <v/>
      </c>
      <c r="U272" s="174" t="str">
        <f t="shared" si="78"/>
        <v/>
      </c>
      <c r="V272" s="174" t="str">
        <f t="shared" si="78"/>
        <v/>
      </c>
      <c r="W272" s="174" t="str">
        <f t="shared" si="78"/>
        <v/>
      </c>
      <c r="X272" s="174" t="str">
        <f t="shared" si="78"/>
        <v/>
      </c>
      <c r="Y272" s="174" t="str">
        <f t="shared" si="78"/>
        <v/>
      </c>
      <c r="Z272" s="174" t="str">
        <f t="shared" si="78"/>
        <v/>
      </c>
      <c r="AA272" s="174" t="str">
        <f t="shared" si="78"/>
        <v/>
      </c>
      <c r="AB272" s="174" t="str">
        <f t="shared" si="78"/>
        <v/>
      </c>
      <c r="AC272" s="174" t="str">
        <f t="shared" si="78"/>
        <v/>
      </c>
      <c r="AD272" s="174" t="str">
        <f t="shared" si="78"/>
        <v/>
      </c>
      <c r="AE272" s="174" t="str">
        <f t="shared" si="78"/>
        <v/>
      </c>
      <c r="AF272" s="174" t="str">
        <f t="shared" si="78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79">IF(B240&lt;100,"",B240-330)</f>
        <v/>
      </c>
      <c r="C273" s="174" t="str">
        <f t="shared" si="79"/>
        <v/>
      </c>
      <c r="D273" s="174" t="str">
        <f t="shared" si="79"/>
        <v/>
      </c>
      <c r="E273" s="174" t="str">
        <f t="shared" si="79"/>
        <v/>
      </c>
      <c r="F273" s="174" t="str">
        <f t="shared" si="79"/>
        <v/>
      </c>
      <c r="G273" s="174" t="str">
        <f t="shared" si="79"/>
        <v/>
      </c>
      <c r="H273" s="174" t="str">
        <f t="shared" si="79"/>
        <v/>
      </c>
      <c r="I273" s="174" t="str">
        <f t="shared" si="79"/>
        <v/>
      </c>
      <c r="J273" s="174" t="str">
        <f t="shared" si="79"/>
        <v/>
      </c>
      <c r="K273" s="174" t="str">
        <f t="shared" si="79"/>
        <v/>
      </c>
      <c r="L273" s="174" t="str">
        <f t="shared" si="79"/>
        <v/>
      </c>
      <c r="M273" s="174" t="str">
        <f t="shared" si="79"/>
        <v/>
      </c>
      <c r="N273" s="174" t="str">
        <f t="shared" si="79"/>
        <v/>
      </c>
      <c r="O273" s="174" t="str">
        <f t="shared" si="79"/>
        <v/>
      </c>
      <c r="P273" s="174" t="str">
        <f t="shared" si="79"/>
        <v/>
      </c>
      <c r="Q273" s="174" t="str">
        <f t="shared" si="79"/>
        <v/>
      </c>
      <c r="R273" s="174" t="str">
        <f t="shared" si="79"/>
        <v/>
      </c>
      <c r="S273" s="174" t="str">
        <f t="shared" si="79"/>
        <v/>
      </c>
      <c r="T273" s="174" t="str">
        <f t="shared" si="79"/>
        <v/>
      </c>
      <c r="U273" s="174" t="str">
        <f t="shared" si="79"/>
        <v/>
      </c>
      <c r="V273" s="174" t="str">
        <f t="shared" si="79"/>
        <v/>
      </c>
      <c r="W273" s="174" t="str">
        <f t="shared" si="79"/>
        <v/>
      </c>
      <c r="X273" s="174" t="str">
        <f t="shared" si="79"/>
        <v/>
      </c>
      <c r="Y273" s="174" t="str">
        <f t="shared" si="79"/>
        <v/>
      </c>
      <c r="Z273" s="174" t="str">
        <f t="shared" si="79"/>
        <v/>
      </c>
      <c r="AA273" s="174" t="str">
        <f t="shared" si="79"/>
        <v/>
      </c>
      <c r="AB273" s="174" t="str">
        <f t="shared" si="79"/>
        <v/>
      </c>
      <c r="AC273" s="174" t="str">
        <f t="shared" si="79"/>
        <v/>
      </c>
      <c r="AD273" s="174" t="str">
        <f t="shared" si="79"/>
        <v/>
      </c>
      <c r="AE273" s="174" t="str">
        <f t="shared" si="79"/>
        <v/>
      </c>
      <c r="AF273" s="174" t="str">
        <f t="shared" si="79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80">IF(B241&lt;100,"",B241-1500)</f>
        <v/>
      </c>
      <c r="C274" s="174" t="str">
        <f t="shared" si="80"/>
        <v/>
      </c>
      <c r="D274" s="174" t="str">
        <f t="shared" si="80"/>
        <v/>
      </c>
      <c r="E274" s="174" t="str">
        <f t="shared" si="80"/>
        <v/>
      </c>
      <c r="F274" s="174" t="str">
        <f t="shared" si="80"/>
        <v/>
      </c>
      <c r="G274" s="174" t="str">
        <f t="shared" si="80"/>
        <v/>
      </c>
      <c r="H274" s="174" t="str">
        <f t="shared" si="80"/>
        <v/>
      </c>
      <c r="I274" s="174" t="str">
        <f t="shared" si="80"/>
        <v/>
      </c>
      <c r="J274" s="174" t="str">
        <f t="shared" si="80"/>
        <v/>
      </c>
      <c r="K274" s="174" t="str">
        <f t="shared" si="80"/>
        <v/>
      </c>
      <c r="L274" s="174" t="str">
        <f t="shared" si="80"/>
        <v/>
      </c>
      <c r="M274" s="174" t="str">
        <f t="shared" si="80"/>
        <v/>
      </c>
      <c r="N274" s="174" t="str">
        <f t="shared" si="80"/>
        <v/>
      </c>
      <c r="O274" s="174" t="str">
        <f t="shared" si="80"/>
        <v/>
      </c>
      <c r="P274" s="174" t="str">
        <f t="shared" si="80"/>
        <v/>
      </c>
      <c r="Q274" s="174" t="str">
        <f t="shared" si="80"/>
        <v/>
      </c>
      <c r="R274" s="174" t="str">
        <f t="shared" si="80"/>
        <v/>
      </c>
      <c r="S274" s="174" t="str">
        <f t="shared" si="80"/>
        <v/>
      </c>
      <c r="T274" s="174" t="str">
        <f t="shared" si="80"/>
        <v/>
      </c>
      <c r="U274" s="174" t="str">
        <f t="shared" si="80"/>
        <v/>
      </c>
      <c r="V274" s="174" t="str">
        <f t="shared" si="80"/>
        <v/>
      </c>
      <c r="W274" s="174" t="str">
        <f t="shared" si="80"/>
        <v/>
      </c>
      <c r="X274" s="174" t="str">
        <f t="shared" si="80"/>
        <v/>
      </c>
      <c r="Y274" s="174" t="str">
        <f t="shared" si="80"/>
        <v/>
      </c>
      <c r="Z274" s="174" t="str">
        <f t="shared" si="80"/>
        <v/>
      </c>
      <c r="AA274" s="174" t="str">
        <f t="shared" si="80"/>
        <v/>
      </c>
      <c r="AB274" s="174" t="str">
        <f t="shared" si="80"/>
        <v/>
      </c>
      <c r="AC274" s="174" t="str">
        <f t="shared" si="80"/>
        <v/>
      </c>
      <c r="AD274" s="174" t="str">
        <f t="shared" si="80"/>
        <v/>
      </c>
      <c r="AE274" s="174" t="str">
        <f t="shared" si="80"/>
        <v/>
      </c>
      <c r="AF274" s="174" t="str">
        <f t="shared" si="80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977" priority="64">
      <formula>$AH11=0</formula>
    </cfRule>
  </conditionalFormatting>
  <conditionalFormatting sqref="B8 M8 S8 AB8">
    <cfRule type="expression" dxfId="976" priority="117">
      <formula>C$9&lt;8/24</formula>
    </cfRule>
    <cfRule type="expression" dxfId="975" priority="115">
      <formula>AND(C$9&gt;=14/24,C$9&lt;20/24)</formula>
    </cfRule>
    <cfRule type="expression" dxfId="974" priority="116">
      <formula>AND(C$9&gt;=8/24,C$9&lt;14/24)</formula>
    </cfRule>
  </conditionalFormatting>
  <conditionalFormatting sqref="B54:L54">
    <cfRule type="expression" dxfId="973" priority="41">
      <formula>B$9&lt;8/24</formula>
    </cfRule>
    <cfRule type="expression" dxfId="972" priority="40">
      <formula>AND(B$9&gt;=8/24,B$9&lt;14/24)</formula>
    </cfRule>
    <cfRule type="expression" dxfId="971" priority="39">
      <formula>AND(B$9&gt;=14/24,B$9&lt;20/24)</formula>
    </cfRule>
    <cfRule type="expression" dxfId="970" priority="38">
      <formula>B$9&gt;=20/24</formula>
    </cfRule>
  </conditionalFormatting>
  <conditionalFormatting sqref="B54:L66">
    <cfRule type="expression" dxfId="969" priority="33">
      <formula>B54&gt;$AG54</formula>
    </cfRule>
  </conditionalFormatting>
  <conditionalFormatting sqref="B9:AF45">
    <cfRule type="expression" dxfId="968" priority="24">
      <formula>AND(B$9&gt;=14/24,B$9&lt;20/24)</formula>
    </cfRule>
    <cfRule type="expression" dxfId="967" priority="25">
      <formula>AND(B$9&gt;=8/24,B$9&lt;14/24)</formula>
    </cfRule>
    <cfRule type="expression" dxfId="966" priority="26">
      <formula>B$9&lt;8/24</formula>
    </cfRule>
    <cfRule type="expression" dxfId="965" priority="23">
      <formula>B$9&gt;=20/24</formula>
    </cfRule>
  </conditionalFormatting>
  <conditionalFormatting sqref="B11:AF46">
    <cfRule type="expression" dxfId="964" priority="22">
      <formula>B11&gt;$AG11</formula>
    </cfRule>
  </conditionalFormatting>
  <conditionalFormatting sqref="B46:AF46">
    <cfRule type="expression" dxfId="963" priority="18">
      <formula>B$9&gt;=20/24</formula>
    </cfRule>
    <cfRule type="expression" dxfId="962" priority="19">
      <formula>AND(B$9&gt;=14/24,B$9&lt;20/24)</formula>
    </cfRule>
    <cfRule type="expression" dxfId="961" priority="20">
      <formula>AND(B$9&gt;=8/24,B$9&lt;14/24)</formula>
    </cfRule>
    <cfRule type="expression" dxfId="960" priority="21">
      <formula>B$9&lt;8/24</formula>
    </cfRule>
  </conditionalFormatting>
  <conditionalFormatting sqref="B47:AF47">
    <cfRule type="expression" dxfId="959" priority="32">
      <formula>B47&gt;$AG47</formula>
    </cfRule>
  </conditionalFormatting>
  <conditionalFormatting sqref="B47:AF49">
    <cfRule type="expression" dxfId="958" priority="30">
      <formula>AND(B$9&gt;=8/24,B$9&lt;14/24)</formula>
    </cfRule>
    <cfRule type="expression" dxfId="957" priority="31">
      <formula>B$9&lt;8/24</formula>
    </cfRule>
    <cfRule type="expression" dxfId="956" priority="28">
      <formula>B$9&gt;=20/24</formula>
    </cfRule>
    <cfRule type="expression" dxfId="955" priority="29">
      <formula>AND(B$9&gt;=14/24,B$9&lt;20/24)</formula>
    </cfRule>
  </conditionalFormatting>
  <conditionalFormatting sqref="B48:AF53">
    <cfRule type="expression" dxfId="954" priority="27">
      <formula>B48&gt;$AG48</formula>
    </cfRule>
  </conditionalFormatting>
  <conditionalFormatting sqref="B51:AF53">
    <cfRule type="expression" dxfId="953" priority="50">
      <formula>B$9&lt;8/24</formula>
    </cfRule>
    <cfRule type="expression" dxfId="952" priority="47">
      <formula>B$9&gt;=20/24</formula>
    </cfRule>
    <cfRule type="expression" dxfId="951" priority="49">
      <formula>AND(B$9&gt;=8/24,B$9&lt;14/24)</formula>
    </cfRule>
    <cfRule type="expression" dxfId="950" priority="48">
      <formula>AND(B$9&gt;=14/24,B$9&lt;20/24)</formula>
    </cfRule>
  </conditionalFormatting>
  <conditionalFormatting sqref="B55:AF66">
    <cfRule type="expression" dxfId="949" priority="36">
      <formula>AND(B$9&gt;=8/24,B$9&lt;14/24)</formula>
    </cfRule>
    <cfRule type="expression" dxfId="948" priority="37">
      <formula>B$9&lt;8/24</formula>
    </cfRule>
    <cfRule type="expression" dxfId="947" priority="34">
      <formula>B$9&gt;=20/24</formula>
    </cfRule>
    <cfRule type="expression" dxfId="946" priority="35">
      <formula>AND(B$9&gt;=14/24,B$9&lt;20/24)</formula>
    </cfRule>
  </conditionalFormatting>
  <conditionalFormatting sqref="B69:AF71">
    <cfRule type="expression" dxfId="945" priority="57">
      <formula>AND(B$9&gt;=14/24,B$9&lt;20/24)</formula>
    </cfRule>
    <cfRule type="expression" dxfId="944" priority="56">
      <formula>B$9&gt;=20/24</formula>
    </cfRule>
    <cfRule type="expression" dxfId="943" priority="59">
      <formula>B$9&lt;8/24</formula>
    </cfRule>
    <cfRule type="expression" dxfId="942" priority="55">
      <formula>B69&gt;$AG69</formula>
    </cfRule>
    <cfRule type="expression" dxfId="941" priority="58">
      <formula>AND(B$9&gt;=8/24,B$9&lt;14/24)</formula>
    </cfRule>
  </conditionalFormatting>
  <conditionalFormatting sqref="B73:AF91">
    <cfRule type="expression" dxfId="940" priority="3">
      <formula>AND(B$9&gt;=8/24,B$9&lt;14/24)</formula>
    </cfRule>
    <cfRule type="expression" dxfId="939" priority="4">
      <formula>B$9&lt;8/24</formula>
    </cfRule>
    <cfRule type="expression" dxfId="938" priority="1">
      <formula>B$9&gt;=20/24</formula>
    </cfRule>
    <cfRule type="expression" dxfId="937" priority="2">
      <formula>AND(B$9&gt;=14/24,B$9&lt;20/24)</formula>
    </cfRule>
  </conditionalFormatting>
  <conditionalFormatting sqref="B111:AF120">
    <cfRule type="expression" dxfId="936" priority="17">
      <formula>B$9&lt;8/24</formula>
    </cfRule>
    <cfRule type="expression" dxfId="935" priority="15">
      <formula>AND(B$9&gt;=14/24,B$9&lt;20/24)</formula>
    </cfRule>
    <cfRule type="expression" dxfId="934" priority="14">
      <formula>B$9&gt;=20/24</formula>
    </cfRule>
    <cfRule type="expression" dxfId="933" priority="16">
      <formula>AND(B$9&gt;=8/24,B$9&lt;14/24)</formula>
    </cfRule>
  </conditionalFormatting>
  <conditionalFormatting sqref="B227:AF227 D229:AF230 B229:B235 D231:H231 J231:AF231 D232:AF235 U248:AF248">
    <cfRule type="expression" dxfId="932" priority="109">
      <formula>AND(B$9&gt;=14/24,B$9&lt;20/24)</formula>
    </cfRule>
    <cfRule type="expression" dxfId="931" priority="110">
      <formula>AND(B$9&gt;=8/24,B$9&lt;14/24)</formula>
    </cfRule>
    <cfRule type="expression" dxfId="930" priority="111">
      <formula>B$9&lt;8/24</formula>
    </cfRule>
    <cfRule type="expression" dxfId="929" priority="108">
      <formula>B$9&gt;=20/24</formula>
    </cfRule>
  </conditionalFormatting>
  <conditionalFormatting sqref="B67:AG68 B72:AG72">
    <cfRule type="expression" dxfId="928" priority="42">
      <formula>B67&gt;$AG67</formula>
    </cfRule>
  </conditionalFormatting>
  <conditionalFormatting sqref="B72:AG72 B93:AF109">
    <cfRule type="expression" dxfId="927" priority="43">
      <formula>B$9&gt;=20/24</formula>
    </cfRule>
    <cfRule type="expression" dxfId="926" priority="44">
      <formula>AND(B$9&gt;=14/24,B$9&lt;20/24)</formula>
    </cfRule>
    <cfRule type="expression" dxfId="925" priority="45">
      <formula>AND(B$9&gt;=8/24,B$9&lt;14/24)</formula>
    </cfRule>
    <cfRule type="expression" dxfId="924" priority="46">
      <formula>B$9&lt;8/24</formula>
    </cfRule>
  </conditionalFormatting>
  <conditionalFormatting sqref="M55:AF66">
    <cfRule type="expression" dxfId="923" priority="5">
      <formula>M55&gt;$AG55</formula>
    </cfRule>
  </conditionalFormatting>
  <conditionalFormatting sqref="M54:AG54">
    <cfRule type="expression" dxfId="922" priority="80">
      <formula>M$9&lt;8/24</formula>
    </cfRule>
    <cfRule type="expression" dxfId="921" priority="77">
      <formula>M$9&gt;=20/24</formula>
    </cfRule>
    <cfRule type="expression" dxfId="920" priority="76">
      <formula>M54&gt;$AG54</formula>
    </cfRule>
    <cfRule type="expression" dxfId="919" priority="79">
      <formula>AND(M$9&gt;=8/24,M$9&lt;14/24)</formula>
    </cfRule>
    <cfRule type="expression" dxfId="918" priority="78">
      <formula>AND(M$9&gt;=14/24,M$9&lt;20/24)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917" priority="114">
      <formula>C$9&gt;=20/24</formula>
    </cfRule>
  </conditionalFormatting>
  <conditionalFormatting sqref="S8">
    <cfRule type="expression" dxfId="916" priority="101">
      <formula>U$9&gt;=20/24</formula>
    </cfRule>
    <cfRule type="expression" dxfId="915" priority="102">
      <formula>AND(U$9&gt;=14/24,U$9&lt;20/24)</formula>
    </cfRule>
    <cfRule type="expression" dxfId="914" priority="103">
      <formula>AND(U$9&gt;=8/24,U$9&lt;14/24)</formula>
    </cfRule>
    <cfRule type="expression" dxfId="913" priority="104">
      <formula>U$9&lt;8/24</formula>
    </cfRule>
  </conditionalFormatting>
  <conditionalFormatting sqref="S55:AF60">
    <cfRule type="expression" dxfId="912" priority="13">
      <formula>S$9&lt;8/24</formula>
    </cfRule>
    <cfRule type="expression" dxfId="911" priority="12">
      <formula>AND(S$9&gt;=8/24,S$9&lt;14/24)</formula>
    </cfRule>
    <cfRule type="expression" dxfId="910" priority="11">
      <formula>AND(S$9&gt;=14/24,S$9&lt;20/24)</formula>
    </cfRule>
    <cfRule type="expression" dxfId="909" priority="10">
      <formula>S$9&gt;=20/24</formula>
    </cfRule>
  </conditionalFormatting>
  <conditionalFormatting sqref="T248">
    <cfRule type="expression" dxfId="908" priority="129">
      <formula>AX$9&lt;8/24</formula>
    </cfRule>
    <cfRule type="expression" dxfId="907" priority="126">
      <formula>AX$9&gt;=20/24</formula>
    </cfRule>
    <cfRule type="expression" dxfId="906" priority="127">
      <formula>AND(AX$9&gt;=14/24,AX$9&lt;20/24)</formula>
    </cfRule>
    <cfRule type="expression" dxfId="905" priority="128">
      <formula>AND(AX$9&gt;=8/24,AX$9&lt;14/24)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904" priority="97">
      <formula>AD$9&gt;=20/24</formula>
    </cfRule>
    <cfRule type="expression" dxfId="903" priority="98">
      <formula>AND(AD$9&gt;=14/24,AD$9&lt;20/24)</formula>
    </cfRule>
    <cfRule type="expression" dxfId="902" priority="99">
      <formula>AND(AD$9&gt;=8/24,AD$9&lt;14/24)</formula>
    </cfRule>
    <cfRule type="expression" dxfId="901" priority="100">
      <formula>AD$9&lt;8/24</formula>
    </cfRule>
  </conditionalFormatting>
  <conditionalFormatting sqref="AG50">
    <cfRule type="expression" dxfId="900" priority="84">
      <formula>AG50&gt;$AG50</formula>
    </cfRule>
  </conditionalFormatting>
  <conditionalFormatting sqref="AG89">
    <cfRule type="expression" dxfId="899" priority="88">
      <formula>AG$9&lt;8/24</formula>
    </cfRule>
    <cfRule type="expression" dxfId="898" priority="86">
      <formula>AND(AG$9&gt;=14/24,AG$9&lt;20/24)</formula>
    </cfRule>
    <cfRule type="expression" dxfId="897" priority="87">
      <formula>AND(AG$9&gt;=8/24,AG$9&lt;14/24)</formula>
    </cfRule>
    <cfRule type="expression" dxfId="896" priority="85">
      <formula>AG$9&gt;=20/24</formula>
    </cfRule>
  </conditionalFormatting>
  <conditionalFormatting sqref="AG248">
    <cfRule type="expression" dxfId="895" priority="119">
      <formula>AND(B$9&gt;=14/24,B$9&lt;20/24)</formula>
    </cfRule>
    <cfRule type="expression" dxfId="894" priority="121">
      <formula>B$9&lt;8/24</formula>
    </cfRule>
    <cfRule type="expression" dxfId="893" priority="118">
      <formula>B$9&gt;=20/24</formula>
    </cfRule>
    <cfRule type="expression" dxfId="892" priority="120">
      <formula>AND(B$9&gt;=8/24,B$9&lt;14/24)</formula>
    </cfRule>
  </conditionalFormatting>
  <conditionalFormatting sqref="AH248:AX248">
    <cfRule type="expression" dxfId="891" priority="122">
      <formula>AG$9&gt;=20/24</formula>
    </cfRule>
    <cfRule type="expression" dxfId="890" priority="123">
      <formula>AND(AG$9&gt;=14/24,AG$9&lt;20/24)</formula>
    </cfRule>
    <cfRule type="expression" dxfId="889" priority="124">
      <formula>AND(AG$9&gt;=8/24,AG$9&lt;14/24)</formula>
    </cfRule>
    <cfRule type="expression" dxfId="88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887" priority="131">
      <formula>AJ$9&gt;=20/24</formula>
    </cfRule>
    <cfRule type="expression" dxfId="886" priority="132">
      <formula>AND(AJ$9&gt;=14/24,AJ$9&lt;20/24)</formula>
    </cfRule>
    <cfRule type="expression" dxfId="885" priority="133">
      <formula>AND(AJ$9&gt;=8/24,AJ$9&lt;14/24)</formula>
    </cfRule>
    <cfRule type="expression" dxfId="884" priority="134">
      <formula>AJ$9&lt;8/24</formula>
    </cfRule>
  </conditionalFormatting>
  <conditionalFormatting sqref="AL80:AN80 AL86:AN86">
    <cfRule type="expression" dxfId="883" priority="72">
      <formula>AL$9&gt;=20/24</formula>
    </cfRule>
    <cfRule type="expression" dxfId="882" priority="73">
      <formula>AND(AL$9&gt;=14/24,AL$9&lt;20/24)</formula>
    </cfRule>
    <cfRule type="expression" dxfId="881" priority="74">
      <formula>AND(AL$9&gt;=8/24,AL$9&lt;14/24)</formula>
    </cfRule>
    <cfRule type="expression" dxfId="880" priority="75">
      <formula>AL$9&lt;8/24</formula>
    </cfRule>
  </conditionalFormatting>
  <conditionalFormatting sqref="AN81:AN84">
    <cfRule type="expression" dxfId="879" priority="71">
      <formula>AN$9&lt;8/24</formula>
    </cfRule>
    <cfRule type="expression" dxfId="878" priority="68">
      <formula>AN$9&gt;=20/24</formula>
    </cfRule>
    <cfRule type="expression" dxfId="877" priority="69">
      <formula>AND(AN$9&gt;=14/24,AN$9&lt;20/24)</formula>
    </cfRule>
    <cfRule type="expression" dxfId="876" priority="70">
      <formula>AND(AN$9&gt;=8/24,AN$9&lt;14/24)</formula>
    </cfRule>
  </conditionalFormatting>
  <pageMargins left="0.7" right="0.7" top="0.75" bottom="0.75" header="0.3" footer="0.3"/>
  <drawing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4717F-1079-4582-9A65-A87D233582D8}">
  <sheetPr codeName="Sheet31"/>
  <dimension ref="A1:CJ281"/>
  <sheetViews>
    <sheetView workbookViewId="0">
      <pane xSplit="1" ySplit="10" topLeftCell="F5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2080/05/27</v>
      </c>
      <c r="C4" s="196"/>
      <c r="D4" s="196"/>
      <c r="E4" s="197" t="str">
        <f ca="1">"2080/"&amp;"05/"&amp;INT(MID(CELL("filename",G6),FIND("]",CELL("filename",G6))+1,200))</f>
        <v>2080/05/27</v>
      </c>
      <c r="F4" s="197"/>
      <c r="G4" s="197"/>
      <c r="H4" s="197" t="str">
        <f ca="1">TEXT(E4,"dddd")</f>
        <v>Monday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1.7</v>
      </c>
      <c r="Z5" s="30">
        <f t="shared" si="0"/>
        <v>5</v>
      </c>
      <c r="AA5" s="30">
        <f t="shared" si="0"/>
        <v>13.7</v>
      </c>
      <c r="AB5" s="30">
        <f t="shared" si="0"/>
        <v>10.8</v>
      </c>
      <c r="AC5" s="30">
        <f t="shared" si="0"/>
        <v>3.3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2184MW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Load=2046</v>
      </c>
      <c r="B7" s="35">
        <f t="shared" ref="B7:AF7" si="1">B91</f>
        <v>2094.14</v>
      </c>
      <c r="C7" s="35">
        <f t="shared" si="1"/>
        <v>2055.2399999999998</v>
      </c>
      <c r="D7" s="35">
        <f t="shared" si="1"/>
        <v>2068.9399999999996</v>
      </c>
      <c r="E7" s="35">
        <f t="shared" si="1"/>
        <v>2074.44</v>
      </c>
      <c r="F7" s="35">
        <f t="shared" si="1"/>
        <v>2053.14</v>
      </c>
      <c r="G7" s="35">
        <f t="shared" si="1"/>
        <v>2046.2399999999998</v>
      </c>
      <c r="H7" s="35">
        <f t="shared" si="1"/>
        <v>2074.6400000000003</v>
      </c>
      <c r="I7" s="35">
        <f t="shared" si="1"/>
        <v>2082.84</v>
      </c>
      <c r="J7" s="35">
        <f t="shared" si="1"/>
        <v>2100.84</v>
      </c>
      <c r="K7" s="35">
        <f t="shared" si="1"/>
        <v>2129.7399999999998</v>
      </c>
      <c r="L7" s="35">
        <f t="shared" si="1"/>
        <v>2184.2399999999998</v>
      </c>
      <c r="M7" s="35">
        <f t="shared" si="1"/>
        <v>2184.2399999999998</v>
      </c>
      <c r="N7" s="35">
        <f>N91</f>
        <v>2144.7399999999998</v>
      </c>
      <c r="O7" s="35">
        <f t="shared" si="1"/>
        <v>2175.2399999999998</v>
      </c>
      <c r="P7" s="35">
        <f t="shared" si="1"/>
        <v>2175.2399999999998</v>
      </c>
      <c r="Q7" s="35">
        <f t="shared" si="1"/>
        <v>2175.2399999999998</v>
      </c>
      <c r="R7" s="35">
        <f t="shared" si="1"/>
        <v>2175.2399999999998</v>
      </c>
      <c r="S7" s="35">
        <f t="shared" si="1"/>
        <v>2235.44</v>
      </c>
      <c r="T7" s="35">
        <f t="shared" si="1"/>
        <v>2239.7399999999998</v>
      </c>
      <c r="U7" s="35">
        <f t="shared" si="1"/>
        <v>2236.6400000000003</v>
      </c>
      <c r="V7" s="35">
        <f t="shared" si="1"/>
        <v>2231.7400000000002</v>
      </c>
      <c r="W7" s="35">
        <f t="shared" si="1"/>
        <v>2229.7400000000002</v>
      </c>
      <c r="X7" s="35">
        <f t="shared" si="1"/>
        <v>2227.6400000000003</v>
      </c>
      <c r="Y7" s="35">
        <f t="shared" si="1"/>
        <v>2237.6400000000003</v>
      </c>
      <c r="Z7" s="35">
        <f t="shared" si="1"/>
        <v>2276.7399999999998</v>
      </c>
      <c r="AA7" s="35">
        <f t="shared" si="1"/>
        <v>2278.94</v>
      </c>
      <c r="AB7" s="35">
        <f t="shared" si="1"/>
        <v>2228.8399999999997</v>
      </c>
      <c r="AC7" s="35">
        <f t="shared" si="1"/>
        <v>2216.84</v>
      </c>
      <c r="AD7" s="35">
        <f t="shared" si="1"/>
        <v>2193.7400000000002</v>
      </c>
      <c r="AE7" s="35">
        <f t="shared" si="1"/>
        <v>2131.54</v>
      </c>
      <c r="AF7" s="35">
        <f t="shared" si="1"/>
        <v>2064.54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90.1</v>
      </c>
      <c r="M11" s="45">
        <v>90.1</v>
      </c>
      <c r="N11" s="45">
        <v>90.1</v>
      </c>
      <c r="O11" s="45">
        <v>90.1</v>
      </c>
      <c r="P11" s="45">
        <v>90.1</v>
      </c>
      <c r="Q11" s="45">
        <v>90.1</v>
      </c>
      <c r="R11" s="45">
        <v>90.1</v>
      </c>
      <c r="S11" s="45">
        <v>90.1</v>
      </c>
      <c r="T11" s="45">
        <v>90.1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54.3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54.4</v>
      </c>
      <c r="AI13" s="48">
        <f t="shared" si="3"/>
        <v>54.2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50.4</v>
      </c>
      <c r="C14" s="45">
        <v>50.4</v>
      </c>
      <c r="D14" s="45">
        <v>50.5</v>
      </c>
      <c r="E14" s="45">
        <v>50.5</v>
      </c>
      <c r="F14" s="45">
        <v>50.5</v>
      </c>
      <c r="G14" s="45">
        <v>50.5</v>
      </c>
      <c r="H14" s="45">
        <v>50.5</v>
      </c>
      <c r="I14" s="45">
        <v>50.5</v>
      </c>
      <c r="J14" s="45">
        <v>50.5</v>
      </c>
      <c r="K14" s="45">
        <v>50.5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50.5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46.9</v>
      </c>
      <c r="C15" s="45">
        <v>37.299999999999997</v>
      </c>
      <c r="D15" s="45">
        <v>37.4</v>
      </c>
      <c r="E15" s="45">
        <v>37.4</v>
      </c>
      <c r="F15" s="45">
        <v>37.4</v>
      </c>
      <c r="G15" s="45">
        <v>37.4</v>
      </c>
      <c r="H15" s="45">
        <v>37.4</v>
      </c>
      <c r="I15" s="45">
        <v>37.4</v>
      </c>
      <c r="J15" s="45">
        <v>37.4</v>
      </c>
      <c r="K15" s="45">
        <v>46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46.9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26.5</v>
      </c>
      <c r="T17" s="45">
        <v>26.5</v>
      </c>
      <c r="U17" s="45">
        <v>26.5</v>
      </c>
      <c r="V17" s="45">
        <v>26.5</v>
      </c>
      <c r="W17" s="45">
        <v>26.5</v>
      </c>
      <c r="X17" s="45">
        <v>26.5</v>
      </c>
      <c r="Y17" s="45">
        <v>26.5</v>
      </c>
      <c r="Z17" s="45">
        <v>26.5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26.5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30</v>
      </c>
      <c r="D19" s="45">
        <v>30</v>
      </c>
      <c r="E19" s="45">
        <v>30</v>
      </c>
      <c r="F19" s="45">
        <v>30</v>
      </c>
      <c r="G19" s="45">
        <v>30</v>
      </c>
      <c r="H19" s="45">
        <v>30</v>
      </c>
      <c r="I19" s="45">
        <v>30</v>
      </c>
      <c r="J19" s="45">
        <v>30</v>
      </c>
      <c r="K19" s="45">
        <v>30</v>
      </c>
      <c r="L19" s="45">
        <v>30</v>
      </c>
      <c r="M19" s="45">
        <v>30</v>
      </c>
      <c r="N19" s="45">
        <v>30</v>
      </c>
      <c r="O19" s="45">
        <v>30</v>
      </c>
      <c r="P19" s="45">
        <v>30</v>
      </c>
      <c r="Q19" s="45">
        <v>30</v>
      </c>
      <c r="R19" s="45">
        <v>30</v>
      </c>
      <c r="S19" s="45">
        <v>30</v>
      </c>
      <c r="T19" s="45">
        <v>30</v>
      </c>
      <c r="U19" s="45">
        <v>30</v>
      </c>
      <c r="V19" s="45">
        <v>30</v>
      </c>
      <c r="W19" s="45">
        <v>30</v>
      </c>
      <c r="X19" s="45">
        <v>30</v>
      </c>
      <c r="Y19" s="45">
        <v>30</v>
      </c>
      <c r="Z19" s="45">
        <v>30</v>
      </c>
      <c r="AA19" s="45">
        <v>30</v>
      </c>
      <c r="AB19" s="45">
        <v>30</v>
      </c>
      <c r="AC19" s="45">
        <v>30</v>
      </c>
      <c r="AD19" s="45">
        <v>30</v>
      </c>
      <c r="AE19" s="45">
        <v>30</v>
      </c>
      <c r="AF19" s="45">
        <v>30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9.6999999999999993</v>
      </c>
      <c r="C20" s="45">
        <v>9.6999999999999993</v>
      </c>
      <c r="D20" s="45">
        <v>12</v>
      </c>
      <c r="E20" s="45">
        <v>15</v>
      </c>
      <c r="F20" s="45">
        <v>10</v>
      </c>
      <c r="G20" s="45">
        <v>30</v>
      </c>
      <c r="H20" s="45">
        <v>12</v>
      </c>
      <c r="I20" s="45">
        <v>12</v>
      </c>
      <c r="J20" s="45">
        <v>15</v>
      </c>
      <c r="K20" s="45">
        <v>21</v>
      </c>
      <c r="L20" s="45">
        <v>30</v>
      </c>
      <c r="M20" s="45">
        <v>30</v>
      </c>
      <c r="N20" s="45">
        <v>20</v>
      </c>
      <c r="O20" s="45">
        <v>30</v>
      </c>
      <c r="P20" s="45">
        <v>30</v>
      </c>
      <c r="Q20" s="45">
        <v>30</v>
      </c>
      <c r="R20" s="45">
        <v>30</v>
      </c>
      <c r="S20" s="45">
        <v>30</v>
      </c>
      <c r="T20" s="45">
        <v>30</v>
      </c>
      <c r="U20" s="45">
        <v>30</v>
      </c>
      <c r="V20" s="45">
        <v>30</v>
      </c>
      <c r="W20" s="45">
        <v>30</v>
      </c>
      <c r="X20" s="45">
        <v>20</v>
      </c>
      <c r="Y20" s="45">
        <v>30</v>
      </c>
      <c r="Z20" s="45">
        <v>30</v>
      </c>
      <c r="AA20" s="45">
        <v>26.2</v>
      </c>
      <c r="AB20" s="45">
        <v>26.2</v>
      </c>
      <c r="AC20" s="45">
        <v>26.2</v>
      </c>
      <c r="AD20" s="45">
        <v>29.6</v>
      </c>
      <c r="AE20" s="45">
        <v>15</v>
      </c>
      <c r="AF20" s="45">
        <v>10</v>
      </c>
      <c r="AG20" s="51">
        <v>30</v>
      </c>
      <c r="AH20" s="47">
        <f t="shared" si="2"/>
        <v>30</v>
      </c>
      <c r="AI20" s="48">
        <f t="shared" si="3"/>
        <v>9.6999999999999993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20.8</v>
      </c>
      <c r="C21" s="45">
        <v>16</v>
      </c>
      <c r="D21" s="45">
        <v>20</v>
      </c>
      <c r="E21" s="45">
        <v>20</v>
      </c>
      <c r="F21" s="45">
        <v>20</v>
      </c>
      <c r="G21" s="45">
        <v>15</v>
      </c>
      <c r="H21" s="45">
        <v>20</v>
      </c>
      <c r="I21" s="45">
        <v>24</v>
      </c>
      <c r="J21" s="45">
        <v>24</v>
      </c>
      <c r="K21" s="45">
        <v>24</v>
      </c>
      <c r="L21" s="45">
        <v>33.1</v>
      </c>
      <c r="M21" s="45">
        <v>33.1</v>
      </c>
      <c r="N21" s="45">
        <v>33.1</v>
      </c>
      <c r="O21" s="45">
        <v>33.1</v>
      </c>
      <c r="P21" s="45">
        <v>33.1</v>
      </c>
      <c r="Q21" s="45">
        <v>33.1</v>
      </c>
      <c r="R21" s="45">
        <v>33.1</v>
      </c>
      <c r="S21" s="45">
        <v>33.1</v>
      </c>
      <c r="T21" s="45">
        <v>33.1</v>
      </c>
      <c r="U21" s="45">
        <v>33.1</v>
      </c>
      <c r="V21" s="45">
        <v>33.1</v>
      </c>
      <c r="W21" s="45">
        <v>33.1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15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28.5</v>
      </c>
      <c r="AI22" s="48">
        <f t="shared" si="3"/>
        <v>28.5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8</v>
      </c>
      <c r="D23" s="45">
        <v>10.8</v>
      </c>
      <c r="E23" s="45">
        <v>13.5</v>
      </c>
      <c r="F23" s="45">
        <v>10.8</v>
      </c>
      <c r="G23" s="45">
        <v>20</v>
      </c>
      <c r="H23" s="45">
        <v>10</v>
      </c>
      <c r="I23" s="45">
        <v>8</v>
      </c>
      <c r="J23" s="45">
        <v>8</v>
      </c>
      <c r="K23" s="45">
        <f>0.6*27</f>
        <v>16.2</v>
      </c>
      <c r="L23" s="45">
        <v>27</v>
      </c>
      <c r="M23" s="45">
        <v>27</v>
      </c>
      <c r="N23" s="45">
        <v>13.5</v>
      </c>
      <c r="O23" s="45">
        <v>24</v>
      </c>
      <c r="P23" s="45">
        <v>24</v>
      </c>
      <c r="Q23" s="45">
        <v>24</v>
      </c>
      <c r="R23" s="45">
        <v>24</v>
      </c>
      <c r="S23" s="45">
        <v>24</v>
      </c>
      <c r="T23" s="45">
        <v>27</v>
      </c>
      <c r="U23" s="45">
        <v>27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25</v>
      </c>
      <c r="AB23" s="45">
        <v>25</v>
      </c>
      <c r="AC23" s="45">
        <v>27</v>
      </c>
      <c r="AD23" s="45">
        <v>21.6</v>
      </c>
      <c r="AE23" s="45">
        <v>13.5</v>
      </c>
      <c r="AF23" s="45">
        <v>8.5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26.2</v>
      </c>
      <c r="C24" s="45">
        <v>26.2</v>
      </c>
      <c r="D24" s="45">
        <v>26.2</v>
      </c>
      <c r="E24" s="45">
        <v>26.2</v>
      </c>
      <c r="F24" s="45">
        <v>26.2</v>
      </c>
      <c r="G24" s="45">
        <v>26.2</v>
      </c>
      <c r="H24" s="45">
        <v>26.2</v>
      </c>
      <c r="I24" s="45">
        <v>26.2</v>
      </c>
      <c r="J24" s="45">
        <v>26.2</v>
      </c>
      <c r="K24" s="45">
        <v>26.2</v>
      </c>
      <c r="L24" s="45">
        <v>26.2</v>
      </c>
      <c r="M24" s="45">
        <v>26.2</v>
      </c>
      <c r="N24" s="45">
        <v>26.2</v>
      </c>
      <c r="O24" s="45">
        <v>26.2</v>
      </c>
      <c r="P24" s="45">
        <v>26.2</v>
      </c>
      <c r="Q24" s="45">
        <v>26.2</v>
      </c>
      <c r="R24" s="45">
        <v>26.2</v>
      </c>
      <c r="S24" s="45">
        <v>26.2</v>
      </c>
      <c r="T24" s="45">
        <v>25</v>
      </c>
      <c r="U24" s="45">
        <v>25</v>
      </c>
      <c r="V24" s="45">
        <v>25</v>
      </c>
      <c r="W24" s="45">
        <v>25</v>
      </c>
      <c r="X24" s="45">
        <v>25</v>
      </c>
      <c r="Y24" s="45">
        <v>25</v>
      </c>
      <c r="Z24" s="45">
        <v>25</v>
      </c>
      <c r="AA24" s="45">
        <v>25</v>
      </c>
      <c r="AB24" s="45">
        <v>25</v>
      </c>
      <c r="AC24" s="45">
        <v>25</v>
      </c>
      <c r="AD24" s="45">
        <v>25</v>
      </c>
      <c r="AE24" s="45">
        <v>25</v>
      </c>
      <c r="AF24" s="45">
        <v>25</v>
      </c>
      <c r="AG24" s="49">
        <v>25</v>
      </c>
      <c r="AH24" s="47">
        <f t="shared" si="2"/>
        <v>26.2</v>
      </c>
      <c r="AI24" s="48">
        <f t="shared" si="3"/>
        <v>25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20</v>
      </c>
      <c r="D26" s="45">
        <v>20</v>
      </c>
      <c r="E26" s="45">
        <v>20</v>
      </c>
      <c r="F26" s="45">
        <v>20</v>
      </c>
      <c r="G26" s="45">
        <v>20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7.5</v>
      </c>
      <c r="D27" s="45">
        <v>10</v>
      </c>
      <c r="E27" s="45">
        <v>12.5</v>
      </c>
      <c r="F27" s="45">
        <v>10</v>
      </c>
      <c r="G27" s="45">
        <v>20</v>
      </c>
      <c r="H27" s="45">
        <v>10</v>
      </c>
      <c r="I27" s="45">
        <v>10</v>
      </c>
      <c r="J27" s="45">
        <v>10</v>
      </c>
      <c r="K27" s="45">
        <v>12.5</v>
      </c>
      <c r="L27" s="45">
        <v>25</v>
      </c>
      <c r="M27" s="45">
        <v>25</v>
      </c>
      <c r="N27" s="45">
        <v>15</v>
      </c>
      <c r="O27" s="45">
        <v>22</v>
      </c>
      <c r="P27" s="45">
        <v>22</v>
      </c>
      <c r="Q27" s="45">
        <v>22</v>
      </c>
      <c r="R27" s="45">
        <v>22</v>
      </c>
      <c r="S27" s="45">
        <v>22</v>
      </c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22</v>
      </c>
      <c r="AB27" s="45">
        <v>22</v>
      </c>
      <c r="AC27" s="45">
        <v>25</v>
      </c>
      <c r="AD27" s="45">
        <v>20</v>
      </c>
      <c r="AE27" s="45">
        <v>12.5</v>
      </c>
      <c r="AF27" s="45">
        <v>8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24.7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45">
        <v>0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8</v>
      </c>
      <c r="K33" s="45">
        <v>8</v>
      </c>
      <c r="L33" s="45">
        <v>8</v>
      </c>
      <c r="M33" s="45">
        <v>8</v>
      </c>
      <c r="N33" s="45">
        <v>8</v>
      </c>
      <c r="O33" s="45">
        <v>8</v>
      </c>
      <c r="P33" s="45">
        <v>8</v>
      </c>
      <c r="Q33" s="45">
        <v>8</v>
      </c>
      <c r="R33" s="45">
        <v>8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5</v>
      </c>
      <c r="Z33" s="45">
        <v>8</v>
      </c>
      <c r="AA33" s="45">
        <v>8</v>
      </c>
      <c r="AB33" s="45">
        <v>8</v>
      </c>
      <c r="AC33" s="45">
        <v>8</v>
      </c>
      <c r="AD33" s="45">
        <v>8</v>
      </c>
      <c r="AE33" s="45">
        <v>4</v>
      </c>
      <c r="AF33" s="45">
        <v>4</v>
      </c>
      <c r="AG33" s="49">
        <v>20</v>
      </c>
      <c r="AH33" s="47">
        <f t="shared" si="2"/>
        <v>8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7</v>
      </c>
      <c r="K34" s="45">
        <v>7</v>
      </c>
      <c r="L34" s="45">
        <v>7</v>
      </c>
      <c r="M34" s="45">
        <v>7</v>
      </c>
      <c r="N34" s="45">
        <v>7</v>
      </c>
      <c r="O34" s="45">
        <v>7</v>
      </c>
      <c r="P34" s="45">
        <v>7</v>
      </c>
      <c r="Q34" s="45">
        <v>7</v>
      </c>
      <c r="R34" s="45">
        <v>7</v>
      </c>
      <c r="S34" s="45">
        <v>5</v>
      </c>
      <c r="T34" s="45">
        <v>5</v>
      </c>
      <c r="U34" s="45">
        <v>5</v>
      </c>
      <c r="V34" s="45">
        <v>5</v>
      </c>
      <c r="W34" s="45">
        <v>5</v>
      </c>
      <c r="X34" s="45">
        <v>5</v>
      </c>
      <c r="Y34" s="45">
        <v>5</v>
      </c>
      <c r="Z34" s="45">
        <v>7</v>
      </c>
      <c r="AA34" s="45">
        <v>7</v>
      </c>
      <c r="AB34" s="45">
        <v>7</v>
      </c>
      <c r="AC34" s="45">
        <v>7</v>
      </c>
      <c r="AD34" s="45">
        <v>7</v>
      </c>
      <c r="AE34" s="45">
        <v>3.5</v>
      </c>
      <c r="AF34" s="45">
        <v>0</v>
      </c>
      <c r="AG34" s="49">
        <v>18</v>
      </c>
      <c r="AH34" s="47">
        <f t="shared" si="2"/>
        <v>7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15.4</v>
      </c>
      <c r="S35" s="45">
        <v>15.4</v>
      </c>
      <c r="T35" s="45">
        <v>15.4</v>
      </c>
      <c r="U35" s="45">
        <v>15.4</v>
      </c>
      <c r="V35" s="45">
        <v>15.4</v>
      </c>
      <c r="W35" s="45">
        <v>15.4</v>
      </c>
      <c r="X35" s="45">
        <v>15.4</v>
      </c>
      <c r="Y35" s="45">
        <v>15.4</v>
      </c>
      <c r="Z35" s="45">
        <v>15.4</v>
      </c>
      <c r="AA35" s="45">
        <v>15.4</v>
      </c>
      <c r="AB35" s="45">
        <v>15.4</v>
      </c>
      <c r="AC35" s="45">
        <v>15.4</v>
      </c>
      <c r="AD35" s="45">
        <v>15.4</v>
      </c>
      <c r="AE35" s="45">
        <v>15.4</v>
      </c>
      <c r="AF35" s="45">
        <v>15.4</v>
      </c>
      <c r="AG35" s="49">
        <v>14.9</v>
      </c>
      <c r="AH35" s="47">
        <f t="shared" si="2"/>
        <v>15.4</v>
      </c>
      <c r="AI35" s="48">
        <f t="shared" si="3"/>
        <v>15.4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3.6</v>
      </c>
      <c r="D39" s="45">
        <v>4.8</v>
      </c>
      <c r="E39" s="45">
        <v>6</v>
      </c>
      <c r="F39" s="45">
        <v>4.8</v>
      </c>
      <c r="G39" s="45">
        <v>9.6</v>
      </c>
      <c r="H39" s="45">
        <v>4.8</v>
      </c>
      <c r="I39" s="45">
        <v>4.8</v>
      </c>
      <c r="J39" s="45">
        <v>4.8</v>
      </c>
      <c r="K39" s="45">
        <v>7.2</v>
      </c>
      <c r="L39" s="45">
        <v>12</v>
      </c>
      <c r="M39" s="45">
        <v>12</v>
      </c>
      <c r="N39" s="45">
        <v>6</v>
      </c>
      <c r="O39" s="45">
        <v>9</v>
      </c>
      <c r="P39" s="45">
        <v>9</v>
      </c>
      <c r="Q39" s="45">
        <v>9</v>
      </c>
      <c r="R39" s="45">
        <v>9</v>
      </c>
      <c r="S39" s="45">
        <v>9</v>
      </c>
      <c r="T39" s="45">
        <v>12</v>
      </c>
      <c r="U39" s="45">
        <v>12</v>
      </c>
      <c r="V39" s="45">
        <v>12</v>
      </c>
      <c r="W39" s="45">
        <v>12</v>
      </c>
      <c r="X39" s="45">
        <v>12</v>
      </c>
      <c r="Y39" s="45">
        <v>12</v>
      </c>
      <c r="Z39" s="45">
        <v>12</v>
      </c>
      <c r="AA39" s="45">
        <v>10</v>
      </c>
      <c r="AB39" s="45">
        <v>10</v>
      </c>
      <c r="AC39" s="45">
        <v>10</v>
      </c>
      <c r="AD39" s="45">
        <v>10</v>
      </c>
      <c r="AE39" s="45">
        <v>8</v>
      </c>
      <c r="AF39" s="45">
        <v>8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4</v>
      </c>
      <c r="AF40" s="45">
        <v>4</v>
      </c>
      <c r="AG40" s="49">
        <v>12</v>
      </c>
      <c r="AH40" s="47">
        <f t="shared" si="2"/>
        <v>12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f>92.4+36.7</f>
        <v>129.10000000000002</v>
      </c>
      <c r="C49" s="56">
        <f>92.6+36.8</f>
        <v>129.39999999999998</v>
      </c>
      <c r="D49" s="56">
        <f>92.6+36.9</f>
        <v>129.5</v>
      </c>
      <c r="E49" s="58">
        <f>92.7+36.9</f>
        <v>129.6</v>
      </c>
      <c r="F49" s="58">
        <f>92.7+36.9</f>
        <v>129.6</v>
      </c>
      <c r="G49" s="58">
        <f>92.4+36.8</f>
        <v>129.19999999999999</v>
      </c>
      <c r="H49" s="58">
        <f>91.9+36.6</f>
        <v>128.5</v>
      </c>
      <c r="I49" s="58">
        <f>91.6+36.4</f>
        <v>128</v>
      </c>
      <c r="J49" s="58">
        <f>91.4+36.4</f>
        <v>127.80000000000001</v>
      </c>
      <c r="K49" s="58">
        <f>91.7+36.5</f>
        <v>128.19999999999999</v>
      </c>
      <c r="L49" s="58">
        <f>91+36.2</f>
        <v>127.2</v>
      </c>
      <c r="M49" s="58">
        <f>91+36.2</f>
        <v>127.2</v>
      </c>
      <c r="N49" s="58">
        <v>127.2</v>
      </c>
      <c r="O49" s="58">
        <f t="shared" ref="O49" si="4">91+36.2</f>
        <v>127.2</v>
      </c>
      <c r="P49" s="58">
        <v>119</v>
      </c>
      <c r="Q49" s="58">
        <v>119</v>
      </c>
      <c r="R49" s="58">
        <v>119</v>
      </c>
      <c r="S49" s="58">
        <v>126</v>
      </c>
      <c r="T49" s="58">
        <v>126</v>
      </c>
      <c r="U49" s="58">
        <v>126</v>
      </c>
      <c r="V49" s="58">
        <v>126</v>
      </c>
      <c r="W49" s="58">
        <v>126</v>
      </c>
      <c r="X49" s="58">
        <v>126</v>
      </c>
      <c r="Y49" s="58">
        <v>126</v>
      </c>
      <c r="Z49" s="58">
        <f>34.8+89</f>
        <v>123.8</v>
      </c>
      <c r="AA49" s="58">
        <f>34.8+89</f>
        <v>123.8</v>
      </c>
      <c r="AB49" s="58">
        <f>34.8+89</f>
        <v>123.8</v>
      </c>
      <c r="AC49" s="58">
        <f>34.8+89</f>
        <v>123.8</v>
      </c>
      <c r="AD49" s="58">
        <f>34.8+89</f>
        <v>123.8</v>
      </c>
      <c r="AE49" s="58">
        <v>128</v>
      </c>
      <c r="AF49" s="58">
        <v>128</v>
      </c>
      <c r="AG49" s="54">
        <v>240</v>
      </c>
      <c r="AH49" s="47">
        <f t="shared" si="2"/>
        <v>129.6</v>
      </c>
      <c r="AI49" s="48">
        <f t="shared" si="3"/>
        <v>119</v>
      </c>
      <c r="AK49" s="50"/>
    </row>
    <row r="50" spans="1:41" ht="15.75" thickBot="1" x14ac:dyDescent="0.3">
      <c r="A50" s="59" t="s">
        <v>58</v>
      </c>
      <c r="B50" s="60">
        <f t="shared" ref="B50" si="5">SUM(B11:B48)</f>
        <v>1125.7</v>
      </c>
      <c r="C50" s="60">
        <f t="shared" ref="C50:AF50" si="6">SUM(C11:C48)</f>
        <v>1097.7</v>
      </c>
      <c r="D50" s="60">
        <f t="shared" ref="D50" si="7">SUM(D11:D48)</f>
        <v>1110.6999999999998</v>
      </c>
      <c r="E50" s="60">
        <f t="shared" si="6"/>
        <v>1120.0999999999999</v>
      </c>
      <c r="F50" s="60">
        <f t="shared" si="6"/>
        <v>1108.6999999999998</v>
      </c>
      <c r="G50" s="60">
        <f t="shared" si="6"/>
        <v>1147.7</v>
      </c>
      <c r="H50" s="60">
        <f t="shared" si="6"/>
        <v>1114.9000000000001</v>
      </c>
      <c r="I50" s="60">
        <f t="shared" si="6"/>
        <v>1116.9000000000001</v>
      </c>
      <c r="J50" s="60">
        <f t="shared" si="6"/>
        <v>1134.9000000000001</v>
      </c>
      <c r="K50" s="60">
        <f t="shared" si="6"/>
        <v>1162.5999999999999</v>
      </c>
      <c r="L50" s="60">
        <f t="shared" si="6"/>
        <v>1209.2</v>
      </c>
      <c r="M50" s="60">
        <f t="shared" ref="M50:O50" si="8">SUM(M11:M48)</f>
        <v>1209.2</v>
      </c>
      <c r="N50" s="60">
        <f t="shared" si="8"/>
        <v>1169.7</v>
      </c>
      <c r="O50" s="60">
        <f t="shared" si="8"/>
        <v>1200.2</v>
      </c>
      <c r="P50" s="60">
        <f t="shared" si="6"/>
        <v>1200.2</v>
      </c>
      <c r="Q50" s="60">
        <f t="shared" si="6"/>
        <v>1200.2</v>
      </c>
      <c r="R50" s="60">
        <f t="shared" si="6"/>
        <v>1200.2</v>
      </c>
      <c r="S50" s="60">
        <f t="shared" si="6"/>
        <v>1215.7</v>
      </c>
      <c r="T50" s="60">
        <f t="shared" si="6"/>
        <v>1223.5</v>
      </c>
      <c r="U50" s="60">
        <f t="shared" si="6"/>
        <v>1223.4000000000001</v>
      </c>
      <c r="V50" s="60">
        <f t="shared" si="6"/>
        <v>1223.4000000000001</v>
      </c>
      <c r="W50" s="60">
        <f t="shared" si="6"/>
        <v>1223.4000000000001</v>
      </c>
      <c r="X50" s="60">
        <f t="shared" si="6"/>
        <v>1213.4000000000001</v>
      </c>
      <c r="Y50" s="60">
        <f t="shared" si="6"/>
        <v>1223.4000000000001</v>
      </c>
      <c r="Z50" s="60">
        <f t="shared" si="6"/>
        <v>1228.4000000000001</v>
      </c>
      <c r="AA50" s="60">
        <f t="shared" si="6"/>
        <v>1219.0999999999999</v>
      </c>
      <c r="AB50" s="60">
        <f t="shared" si="6"/>
        <v>1219.0999999999999</v>
      </c>
      <c r="AC50" s="60">
        <f t="shared" si="6"/>
        <v>1224.0999999999999</v>
      </c>
      <c r="AD50" s="60">
        <f t="shared" si="6"/>
        <v>1217.0999999999999</v>
      </c>
      <c r="AE50" s="60">
        <f t="shared" si="6"/>
        <v>1169.4000000000001</v>
      </c>
      <c r="AF50" s="60">
        <f t="shared" si="6"/>
        <v>1151.4000000000001</v>
      </c>
      <c r="AG50" s="61">
        <f>SUM(AG13:AG48)</f>
        <v>922.14</v>
      </c>
      <c r="AH50" s="47">
        <f t="shared" si="2"/>
        <v>1228.4000000000001</v>
      </c>
      <c r="AI50" s="48">
        <f t="shared" si="3"/>
        <v>1097.7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22.3</v>
      </c>
      <c r="AA53" s="66">
        <v>22.2</v>
      </c>
      <c r="AB53" s="66">
        <v>22.2</v>
      </c>
      <c r="AC53" s="66">
        <v>22.2</v>
      </c>
      <c r="AD53" s="66">
        <v>22.2</v>
      </c>
      <c r="AE53" s="66">
        <v>22.2</v>
      </c>
      <c r="AF53" s="66">
        <v>0</v>
      </c>
      <c r="AG53" s="67">
        <v>22.1</v>
      </c>
      <c r="AH53" s="47">
        <f t="shared" si="2"/>
        <v>22.4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" si="9">SUM(B51:B53)</f>
        <v>538.4</v>
      </c>
      <c r="C54" s="60">
        <f t="shared" ref="C54:AG54" si="10">SUM(C51:C53)</f>
        <v>538.4</v>
      </c>
      <c r="D54" s="60">
        <f t="shared" ref="D54" si="11">SUM(D51:D53)</f>
        <v>538.4</v>
      </c>
      <c r="E54" s="60">
        <f t="shared" si="10"/>
        <v>538.4</v>
      </c>
      <c r="F54" s="60">
        <f t="shared" si="10"/>
        <v>538.4</v>
      </c>
      <c r="G54" s="60">
        <f t="shared" si="10"/>
        <v>538.4</v>
      </c>
      <c r="H54" s="60">
        <f t="shared" si="10"/>
        <v>538.4</v>
      </c>
      <c r="I54" s="60">
        <f t="shared" si="10"/>
        <v>538.4</v>
      </c>
      <c r="J54" s="60">
        <f t="shared" si="10"/>
        <v>538.4</v>
      </c>
      <c r="K54" s="60">
        <f t="shared" si="10"/>
        <v>538.4</v>
      </c>
      <c r="L54" s="60">
        <f t="shared" si="10"/>
        <v>538.4</v>
      </c>
      <c r="M54" s="60">
        <f t="shared" ref="M54:O54" si="12">SUM(M51:M53)</f>
        <v>538.4</v>
      </c>
      <c r="N54" s="60">
        <f t="shared" si="12"/>
        <v>538.4</v>
      </c>
      <c r="O54" s="60">
        <f t="shared" si="12"/>
        <v>538.4</v>
      </c>
      <c r="P54" s="60">
        <f t="shared" si="10"/>
        <v>538.4</v>
      </c>
      <c r="Q54" s="60">
        <f t="shared" si="10"/>
        <v>538.4</v>
      </c>
      <c r="R54" s="60">
        <f t="shared" si="10"/>
        <v>538.4</v>
      </c>
      <c r="S54" s="60">
        <f t="shared" si="10"/>
        <v>538.4</v>
      </c>
      <c r="T54" s="60">
        <f t="shared" si="10"/>
        <v>538.4</v>
      </c>
      <c r="U54" s="60">
        <f t="shared" si="10"/>
        <v>538.4</v>
      </c>
      <c r="V54" s="60">
        <f t="shared" si="10"/>
        <v>538.4</v>
      </c>
      <c r="W54" s="60">
        <f t="shared" si="10"/>
        <v>538.4</v>
      </c>
      <c r="X54" s="60">
        <f t="shared" si="10"/>
        <v>538.4</v>
      </c>
      <c r="Y54" s="60">
        <f t="shared" si="10"/>
        <v>538.4</v>
      </c>
      <c r="Z54" s="60">
        <f t="shared" si="10"/>
        <v>538.29999999999995</v>
      </c>
      <c r="AA54" s="60">
        <f t="shared" si="10"/>
        <v>538.20000000000005</v>
      </c>
      <c r="AB54" s="60">
        <f t="shared" si="10"/>
        <v>538.20000000000005</v>
      </c>
      <c r="AC54" s="60">
        <f t="shared" si="10"/>
        <v>538.20000000000005</v>
      </c>
      <c r="AD54" s="60">
        <f t="shared" si="10"/>
        <v>538.20000000000005</v>
      </c>
      <c r="AE54" s="60">
        <f t="shared" si="10"/>
        <v>538.20000000000005</v>
      </c>
      <c r="AF54" s="60">
        <f t="shared" si="10"/>
        <v>516</v>
      </c>
      <c r="AG54" s="61">
        <f t="shared" si="10"/>
        <v>538.1</v>
      </c>
      <c r="AH54" s="47">
        <f t="shared" si="2"/>
        <v>538.4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144</v>
      </c>
      <c r="E55" s="45">
        <v>144</v>
      </c>
      <c r="F55" s="45">
        <v>144</v>
      </c>
      <c r="G55" s="45">
        <v>144</v>
      </c>
      <c r="H55" s="45">
        <v>144</v>
      </c>
      <c r="I55" s="45">
        <v>144</v>
      </c>
      <c r="J55" s="45">
        <v>144</v>
      </c>
      <c r="K55" s="45">
        <v>144</v>
      </c>
      <c r="L55" s="45">
        <v>144</v>
      </c>
      <c r="M55" s="45">
        <v>144</v>
      </c>
      <c r="N55" s="45">
        <v>144</v>
      </c>
      <c r="O55" s="45">
        <v>144</v>
      </c>
      <c r="P55" s="45">
        <v>144</v>
      </c>
      <c r="Q55" s="45">
        <v>144</v>
      </c>
      <c r="R55" s="45">
        <v>144</v>
      </c>
      <c r="S55" s="45">
        <v>144</v>
      </c>
      <c r="T55" s="45">
        <v>144</v>
      </c>
      <c r="U55" s="45">
        <v>144</v>
      </c>
      <c r="V55" s="45">
        <v>144</v>
      </c>
      <c r="W55" s="45">
        <v>144</v>
      </c>
      <c r="X55" s="45">
        <v>144</v>
      </c>
      <c r="Y55" s="45">
        <v>144</v>
      </c>
      <c r="Z55" s="45">
        <v>144</v>
      </c>
      <c r="AA55" s="45">
        <v>144</v>
      </c>
      <c r="AB55" s="45">
        <v>144</v>
      </c>
      <c r="AC55" s="45">
        <v>144</v>
      </c>
      <c r="AD55" s="45">
        <v>144</v>
      </c>
      <c r="AE55" s="45">
        <v>144</v>
      </c>
      <c r="AF55" s="45">
        <v>144</v>
      </c>
      <c r="AG55" s="51">
        <v>144</v>
      </c>
      <c r="AH55" s="47">
        <f t="shared" si="2"/>
        <v>144</v>
      </c>
      <c r="AI55" s="48">
        <f t="shared" si="3"/>
        <v>144</v>
      </c>
      <c r="AK55" s="50"/>
    </row>
    <row r="56" spans="1:41" x14ac:dyDescent="0.25">
      <c r="A56" s="53" t="s">
        <v>64</v>
      </c>
      <c r="B56" s="64">
        <v>71.2</v>
      </c>
      <c r="C56" s="64">
        <v>69</v>
      </c>
      <c r="D56" s="64">
        <v>68.599999999999994</v>
      </c>
      <c r="E56" s="64">
        <v>68.900000000000006</v>
      </c>
      <c r="F56" s="64">
        <v>68.8</v>
      </c>
      <c r="G56" s="64">
        <v>67.7</v>
      </c>
      <c r="H56" s="64">
        <v>67.7</v>
      </c>
      <c r="I56" s="64">
        <v>67</v>
      </c>
      <c r="J56" s="64">
        <v>67</v>
      </c>
      <c r="K56" s="64">
        <v>67</v>
      </c>
      <c r="L56" s="64">
        <v>67</v>
      </c>
      <c r="M56" s="64">
        <v>67</v>
      </c>
      <c r="N56" s="64">
        <v>67</v>
      </c>
      <c r="O56" s="64">
        <v>67</v>
      </c>
      <c r="P56" s="64">
        <v>67</v>
      </c>
      <c r="Q56" s="64">
        <v>67</v>
      </c>
      <c r="R56" s="64">
        <v>67</v>
      </c>
      <c r="S56" s="45">
        <v>70</v>
      </c>
      <c r="T56" s="45">
        <v>70</v>
      </c>
      <c r="U56" s="45">
        <v>70</v>
      </c>
      <c r="V56" s="45">
        <v>70</v>
      </c>
      <c r="W56" s="45">
        <v>70</v>
      </c>
      <c r="X56" s="45">
        <v>70</v>
      </c>
      <c r="Y56" s="45">
        <v>70</v>
      </c>
      <c r="Z56" s="45">
        <v>70.400000000000006</v>
      </c>
      <c r="AA56" s="45">
        <v>70.400000000000006</v>
      </c>
      <c r="AB56" s="45">
        <v>70.400000000000006</v>
      </c>
      <c r="AC56" s="45">
        <v>70.400000000000006</v>
      </c>
      <c r="AD56" s="45">
        <v>70.400000000000006</v>
      </c>
      <c r="AE56" s="45">
        <v>70.400000000000006</v>
      </c>
      <c r="AF56" s="45">
        <v>70.400000000000006</v>
      </c>
      <c r="AG56" s="54">
        <v>70</v>
      </c>
      <c r="AH56" s="47">
        <f t="shared" si="2"/>
        <v>71.2</v>
      </c>
      <c r="AI56" s="48">
        <f t="shared" si="3"/>
        <v>67</v>
      </c>
      <c r="AK56" s="50"/>
    </row>
    <row r="57" spans="1:41" x14ac:dyDescent="0.25">
      <c r="A57" s="53" t="s">
        <v>65</v>
      </c>
      <c r="B57" s="64">
        <v>64.8</v>
      </c>
      <c r="C57" s="64">
        <v>65.3</v>
      </c>
      <c r="D57" s="64">
        <v>65.8</v>
      </c>
      <c r="E57" s="64">
        <v>61.6</v>
      </c>
      <c r="F57" s="64">
        <v>61.2</v>
      </c>
      <c r="G57" s="64">
        <v>61.2</v>
      </c>
      <c r="H57" s="64">
        <v>60.9</v>
      </c>
      <c r="I57" s="64">
        <v>65.5</v>
      </c>
      <c r="J57" s="64">
        <v>65.5</v>
      </c>
      <c r="K57" s="64">
        <v>65.2</v>
      </c>
      <c r="L57" s="64">
        <v>65.2</v>
      </c>
      <c r="M57" s="64">
        <v>65.2</v>
      </c>
      <c r="N57" s="64">
        <v>65.2</v>
      </c>
      <c r="O57" s="64">
        <v>65.2</v>
      </c>
      <c r="P57" s="64">
        <v>65.2</v>
      </c>
      <c r="Q57" s="64">
        <v>65.2</v>
      </c>
      <c r="R57" s="64">
        <v>65.2</v>
      </c>
      <c r="S57" s="45">
        <v>65</v>
      </c>
      <c r="T57" s="45">
        <v>65</v>
      </c>
      <c r="U57" s="45">
        <v>65</v>
      </c>
      <c r="V57" s="45">
        <v>65</v>
      </c>
      <c r="W57" s="45">
        <v>65</v>
      </c>
      <c r="X57" s="45">
        <v>65</v>
      </c>
      <c r="Y57" s="45">
        <v>65</v>
      </c>
      <c r="Z57" s="45">
        <v>65.599999999999994</v>
      </c>
      <c r="AA57" s="45">
        <v>65.599999999999994</v>
      </c>
      <c r="AB57" s="45">
        <v>65.599999999999994</v>
      </c>
      <c r="AC57" s="45">
        <v>65.599999999999994</v>
      </c>
      <c r="AD57" s="45">
        <v>65.599999999999994</v>
      </c>
      <c r="AE57" s="45">
        <v>65.599999999999994</v>
      </c>
      <c r="AF57" s="45">
        <v>65.599999999999994</v>
      </c>
      <c r="AG57" s="54">
        <v>69</v>
      </c>
      <c r="AH57" s="47">
        <f t="shared" si="2"/>
        <v>65.8</v>
      </c>
      <c r="AI57" s="48">
        <f t="shared" si="3"/>
        <v>60.9</v>
      </c>
      <c r="AK57" s="50"/>
    </row>
    <row r="58" spans="1:41" x14ac:dyDescent="0.25">
      <c r="A58" s="53" t="s">
        <v>66</v>
      </c>
      <c r="B58" s="64">
        <v>59.8</v>
      </c>
      <c r="C58" s="64">
        <v>61.5</v>
      </c>
      <c r="D58" s="64">
        <v>60.4</v>
      </c>
      <c r="E58" s="56">
        <v>60.4</v>
      </c>
      <c r="F58" s="56">
        <v>51</v>
      </c>
      <c r="G58" s="56">
        <v>0</v>
      </c>
      <c r="H58" s="56">
        <v>61.4</v>
      </c>
      <c r="I58" s="56">
        <v>60.9</v>
      </c>
      <c r="J58" s="56">
        <v>60.9</v>
      </c>
      <c r="K58" s="56">
        <v>61.4</v>
      </c>
      <c r="L58" s="56">
        <v>61.4</v>
      </c>
      <c r="M58" s="56">
        <v>61.4</v>
      </c>
      <c r="N58" s="56">
        <v>61.4</v>
      </c>
      <c r="O58" s="56">
        <v>61.4</v>
      </c>
      <c r="P58" s="56">
        <v>61.4</v>
      </c>
      <c r="Q58" s="56">
        <v>61.4</v>
      </c>
      <c r="R58" s="56">
        <v>61.4</v>
      </c>
      <c r="S58" s="45">
        <v>58.2</v>
      </c>
      <c r="T58" s="45">
        <v>51.1</v>
      </c>
      <c r="U58" s="45">
        <v>51.1</v>
      </c>
      <c r="V58" s="45">
        <v>51.1</v>
      </c>
      <c r="W58" s="45">
        <v>51.1</v>
      </c>
      <c r="X58" s="45">
        <v>60</v>
      </c>
      <c r="Y58" s="45">
        <v>60</v>
      </c>
      <c r="Z58" s="45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50</v>
      </c>
      <c r="AF58" s="45">
        <v>50</v>
      </c>
      <c r="AG58" s="54">
        <v>60</v>
      </c>
      <c r="AH58" s="47">
        <f t="shared" si="2"/>
        <v>61.5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45">
        <v>29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>
        <v>29</v>
      </c>
      <c r="AG59" s="54">
        <v>30</v>
      </c>
      <c r="AH59" s="47">
        <f t="shared" si="2"/>
        <v>29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7.9</v>
      </c>
      <c r="M60" s="64">
        <v>7.9</v>
      </c>
      <c r="N60" s="64">
        <v>7.9</v>
      </c>
      <c r="O60" s="64">
        <v>7.9</v>
      </c>
      <c r="P60" s="64">
        <v>7.9</v>
      </c>
      <c r="Q60" s="64">
        <v>7.9</v>
      </c>
      <c r="R60" s="64">
        <v>7.9</v>
      </c>
      <c r="S60" s="45">
        <v>15</v>
      </c>
      <c r="T60" s="45">
        <v>12</v>
      </c>
      <c r="U60" s="45">
        <v>6.9</v>
      </c>
      <c r="V60" s="45">
        <v>2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10</v>
      </c>
      <c r="D61" s="64">
        <v>10</v>
      </c>
      <c r="E61" s="64">
        <v>10</v>
      </c>
      <c r="F61" s="64">
        <v>10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0</v>
      </c>
      <c r="AG61" s="54">
        <v>24</v>
      </c>
      <c r="AH61" s="47">
        <f t="shared" si="2"/>
        <v>16</v>
      </c>
      <c r="AI61" s="48">
        <f t="shared" si="3"/>
        <v>0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11.1</v>
      </c>
      <c r="C63" s="64">
        <v>6.5</v>
      </c>
      <c r="D63" s="64">
        <v>8.1999999999999993</v>
      </c>
      <c r="E63" s="64">
        <v>8.1999999999999993</v>
      </c>
      <c r="F63" s="64">
        <v>8.1999999999999993</v>
      </c>
      <c r="G63" s="64">
        <v>8.1999999999999993</v>
      </c>
      <c r="H63" s="64">
        <v>8.3000000000000007</v>
      </c>
      <c r="I63" s="64">
        <v>11.1</v>
      </c>
      <c r="J63" s="64">
        <v>11.1</v>
      </c>
      <c r="K63" s="64">
        <v>12.1</v>
      </c>
      <c r="L63" s="64">
        <v>12.1</v>
      </c>
      <c r="M63" s="64">
        <v>12.1</v>
      </c>
      <c r="N63" s="64">
        <v>12.1</v>
      </c>
      <c r="O63" s="64">
        <v>12.1</v>
      </c>
      <c r="P63" s="64">
        <v>12.1</v>
      </c>
      <c r="Q63" s="64">
        <v>12.1</v>
      </c>
      <c r="R63" s="64">
        <v>12.1</v>
      </c>
      <c r="S63" s="64">
        <v>12.1</v>
      </c>
      <c r="T63" s="64">
        <v>12.1</v>
      </c>
      <c r="U63" s="64">
        <v>12.1</v>
      </c>
      <c r="V63" s="64">
        <v>12.1</v>
      </c>
      <c r="W63" s="64">
        <v>12.1</v>
      </c>
      <c r="X63" s="64">
        <v>12.1</v>
      </c>
      <c r="Y63" s="64">
        <v>12.1</v>
      </c>
      <c r="Z63" s="64">
        <v>10.8</v>
      </c>
      <c r="AA63" s="64">
        <v>10.8</v>
      </c>
      <c r="AB63" s="64">
        <v>10.8</v>
      </c>
      <c r="AC63" s="64">
        <v>10.8</v>
      </c>
      <c r="AD63" s="64">
        <v>10.8</v>
      </c>
      <c r="AE63" s="64">
        <v>10.8</v>
      </c>
      <c r="AF63" s="64">
        <v>0</v>
      </c>
      <c r="AG63" s="54">
        <v>14.1</v>
      </c>
      <c r="AH63" s="47">
        <f t="shared" si="2"/>
        <v>12.1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13.9</v>
      </c>
      <c r="D64" s="64">
        <v>13.9</v>
      </c>
      <c r="E64" s="64">
        <v>13.9</v>
      </c>
      <c r="F64" s="64">
        <v>13.9</v>
      </c>
      <c r="G64" s="64">
        <v>13.9</v>
      </c>
      <c r="H64" s="64">
        <v>13.9</v>
      </c>
      <c r="I64" s="64">
        <v>13.9</v>
      </c>
      <c r="J64" s="64">
        <v>13.9</v>
      </c>
      <c r="K64" s="64">
        <v>13.9</v>
      </c>
      <c r="L64" s="64">
        <v>13.9</v>
      </c>
      <c r="M64" s="64">
        <v>13.9</v>
      </c>
      <c r="N64" s="64">
        <v>13.9</v>
      </c>
      <c r="O64" s="64">
        <v>13.9</v>
      </c>
      <c r="P64" s="64">
        <v>13.9</v>
      </c>
      <c r="Q64" s="64">
        <v>13.9</v>
      </c>
      <c r="R64" s="64">
        <v>13.9</v>
      </c>
      <c r="S64" s="64">
        <v>13.9</v>
      </c>
      <c r="T64" s="64">
        <v>13.9</v>
      </c>
      <c r="U64" s="64">
        <v>13.9</v>
      </c>
      <c r="V64" s="64">
        <v>13.9</v>
      </c>
      <c r="W64" s="64">
        <v>13.9</v>
      </c>
      <c r="X64" s="64">
        <v>13.9</v>
      </c>
      <c r="Y64" s="64">
        <v>13.9</v>
      </c>
      <c r="Z64" s="64">
        <v>13.8</v>
      </c>
      <c r="AA64" s="64">
        <v>13.8</v>
      </c>
      <c r="AB64" s="64">
        <v>13.8</v>
      </c>
      <c r="AC64" s="64">
        <v>13.8</v>
      </c>
      <c r="AD64" s="64">
        <v>13.8</v>
      </c>
      <c r="AE64" s="64">
        <v>14</v>
      </c>
      <c r="AF64" s="64">
        <v>14</v>
      </c>
      <c r="AG64" s="54">
        <v>14</v>
      </c>
      <c r="AH64" s="47">
        <f t="shared" si="2"/>
        <v>14</v>
      </c>
      <c r="AI64" s="48">
        <f t="shared" si="3"/>
        <v>13.8</v>
      </c>
      <c r="AK64" s="50"/>
    </row>
    <row r="65" spans="1:40" x14ac:dyDescent="0.25">
      <c r="A65" s="53" t="s">
        <v>73</v>
      </c>
      <c r="B65" s="64">
        <v>9.1999999999999993</v>
      </c>
      <c r="C65" s="64">
        <v>5</v>
      </c>
      <c r="D65" s="64">
        <v>5</v>
      </c>
      <c r="E65" s="64">
        <v>5</v>
      </c>
      <c r="F65" s="64">
        <v>5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5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" si="13">SUM(B55:B67)</f>
        <v>430.04</v>
      </c>
      <c r="C68" s="60">
        <f t="shared" ref="C68:AG68" si="14">SUM(C55:C67)</f>
        <v>419.14</v>
      </c>
      <c r="D68" s="60">
        <f t="shared" ref="D68" si="15">SUM(D55:D67)</f>
        <v>419.83999999999992</v>
      </c>
      <c r="E68" s="60">
        <f t="shared" si="14"/>
        <v>415.93999999999994</v>
      </c>
      <c r="F68" s="60">
        <f t="shared" si="14"/>
        <v>406.03999999999996</v>
      </c>
      <c r="G68" s="60">
        <f t="shared" si="14"/>
        <v>360.13999999999993</v>
      </c>
      <c r="H68" s="60">
        <f t="shared" si="14"/>
        <v>421.33999999999992</v>
      </c>
      <c r="I68" s="60">
        <f t="shared" si="14"/>
        <v>427.53999999999996</v>
      </c>
      <c r="J68" s="60">
        <f t="shared" si="14"/>
        <v>427.53999999999996</v>
      </c>
      <c r="K68" s="60">
        <f t="shared" si="14"/>
        <v>428.73999999999995</v>
      </c>
      <c r="L68" s="60">
        <f t="shared" si="14"/>
        <v>436.63999999999993</v>
      </c>
      <c r="M68" s="60">
        <f t="shared" si="14"/>
        <v>436.63999999999993</v>
      </c>
      <c r="N68" s="60">
        <f t="shared" si="14"/>
        <v>436.63999999999993</v>
      </c>
      <c r="O68" s="60">
        <f t="shared" si="14"/>
        <v>436.63999999999993</v>
      </c>
      <c r="P68" s="60">
        <f t="shared" si="14"/>
        <v>436.63999999999993</v>
      </c>
      <c r="Q68" s="60">
        <f t="shared" si="14"/>
        <v>436.63999999999993</v>
      </c>
      <c r="R68" s="60">
        <f t="shared" si="14"/>
        <v>436.63999999999993</v>
      </c>
      <c r="S68" s="60">
        <f t="shared" si="14"/>
        <v>446.34</v>
      </c>
      <c r="T68" s="60">
        <f t="shared" si="14"/>
        <v>436.24</v>
      </c>
      <c r="U68" s="60">
        <f t="shared" si="14"/>
        <v>431.14</v>
      </c>
      <c r="V68" s="60">
        <f t="shared" si="14"/>
        <v>426.24</v>
      </c>
      <c r="W68" s="60">
        <f t="shared" si="14"/>
        <v>424.24</v>
      </c>
      <c r="X68" s="60">
        <f t="shared" si="14"/>
        <v>433.14</v>
      </c>
      <c r="Y68" s="60">
        <f t="shared" si="14"/>
        <v>433.14</v>
      </c>
      <c r="Z68" s="60">
        <f t="shared" si="14"/>
        <v>435.14</v>
      </c>
      <c r="AA68" s="60">
        <f t="shared" si="14"/>
        <v>435.14</v>
      </c>
      <c r="AB68" s="60">
        <f t="shared" si="14"/>
        <v>435.14</v>
      </c>
      <c r="AC68" s="60">
        <f t="shared" si="14"/>
        <v>435.14</v>
      </c>
      <c r="AD68" s="60">
        <f t="shared" si="14"/>
        <v>435.14</v>
      </c>
      <c r="AE68" s="60">
        <f t="shared" si="14"/>
        <v>423.94</v>
      </c>
      <c r="AF68" s="60">
        <f t="shared" si="14"/>
        <v>397.14</v>
      </c>
      <c r="AG68" s="61">
        <f t="shared" si="14"/>
        <v>489.91</v>
      </c>
      <c r="AH68" s="47">
        <f t="shared" si="2"/>
        <v>446.34</v>
      </c>
      <c r="AI68" s="48">
        <f t="shared" si="3"/>
        <v>360.13999999999993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20</v>
      </c>
      <c r="T69" s="45">
        <v>25</v>
      </c>
      <c r="U69" s="45">
        <v>25</v>
      </c>
      <c r="V69" s="45">
        <v>25</v>
      </c>
      <c r="W69" s="45">
        <v>25</v>
      </c>
      <c r="X69" s="45">
        <v>25</v>
      </c>
      <c r="Y69" s="45">
        <v>25</v>
      </c>
      <c r="Z69" s="45">
        <v>40</v>
      </c>
      <c r="AA69" s="45">
        <v>50</v>
      </c>
      <c r="AB69" s="45">
        <v>14</v>
      </c>
      <c r="AC69" s="45">
        <v>0</v>
      </c>
      <c r="AD69" s="45">
        <v>0</v>
      </c>
      <c r="AE69" s="45"/>
      <c r="AF69" s="45"/>
      <c r="AG69" s="51">
        <v>60</v>
      </c>
      <c r="AH69" s="47">
        <f t="shared" si="2"/>
        <v>50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45">
        <v>0</v>
      </c>
      <c r="D70" s="45">
        <v>0</v>
      </c>
      <c r="E70" s="45">
        <v>0</v>
      </c>
      <c r="F70" s="64"/>
      <c r="G70" s="64"/>
      <c r="H70" s="64"/>
      <c r="I70" s="64">
        <v>0</v>
      </c>
      <c r="J70" s="64"/>
      <c r="K70" s="64"/>
      <c r="L70" s="64"/>
      <c r="M70" s="64"/>
      <c r="N70" s="64"/>
      <c r="O70" s="64"/>
      <c r="P70" s="64"/>
      <c r="Q70" s="64"/>
      <c r="R70" s="64"/>
      <c r="S70" s="64">
        <v>10</v>
      </c>
      <c r="T70" s="64">
        <v>12.2</v>
      </c>
      <c r="U70" s="64">
        <v>13.7</v>
      </c>
      <c r="V70" s="64">
        <v>13.7</v>
      </c>
      <c r="W70" s="64">
        <v>13.7</v>
      </c>
      <c r="X70" s="64">
        <v>13</v>
      </c>
      <c r="Y70" s="64">
        <v>13</v>
      </c>
      <c r="Z70" s="64">
        <v>24.3</v>
      </c>
      <c r="AA70" s="64">
        <v>23.1</v>
      </c>
      <c r="AB70" s="64">
        <v>6.4</v>
      </c>
      <c r="AC70" s="64">
        <v>6.3</v>
      </c>
      <c r="AD70" s="64">
        <v>0</v>
      </c>
      <c r="AE70" s="64"/>
      <c r="AF70" s="64"/>
      <c r="AG70" s="54">
        <v>32</v>
      </c>
      <c r="AH70" s="47">
        <f t="shared" si="2"/>
        <v>24.3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45">
        <v>0</v>
      </c>
      <c r="D71" s="45">
        <v>0</v>
      </c>
      <c r="E71" s="45">
        <v>0</v>
      </c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5</v>
      </c>
      <c r="T71" s="66">
        <v>4.4000000000000004</v>
      </c>
      <c r="U71" s="66">
        <v>5</v>
      </c>
      <c r="V71" s="66">
        <v>5</v>
      </c>
      <c r="W71" s="66">
        <v>5</v>
      </c>
      <c r="X71" s="66">
        <v>4.7</v>
      </c>
      <c r="Y71" s="66">
        <v>4.7</v>
      </c>
      <c r="Z71" s="66">
        <v>8.9</v>
      </c>
      <c r="AA71" s="66">
        <v>8.4</v>
      </c>
      <c r="AB71" s="66">
        <v>2.2999999999999998</v>
      </c>
      <c r="AC71" s="66">
        <v>2.2999999999999998</v>
      </c>
      <c r="AD71" s="66">
        <v>0</v>
      </c>
      <c r="AE71" s="66"/>
      <c r="AF71" s="66"/>
      <c r="AG71" s="67">
        <v>14</v>
      </c>
      <c r="AH71" s="47">
        <f t="shared" si="2"/>
        <v>8.9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 t="shared" ref="B72" si="16"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7">M69+M70+M71</f>
        <v>0</v>
      </c>
      <c r="N72" s="60">
        <f t="shared" si="17"/>
        <v>0</v>
      </c>
      <c r="O72" s="60">
        <f t="shared" si="17"/>
        <v>0</v>
      </c>
      <c r="P72" s="60">
        <f t="shared" si="17"/>
        <v>0</v>
      </c>
      <c r="Q72" s="60">
        <f t="shared" si="17"/>
        <v>0</v>
      </c>
      <c r="R72" s="60">
        <f t="shared" si="17"/>
        <v>0</v>
      </c>
      <c r="S72" s="60">
        <f t="shared" si="17"/>
        <v>35</v>
      </c>
      <c r="T72" s="60">
        <f t="shared" si="17"/>
        <v>41.6</v>
      </c>
      <c r="U72" s="60">
        <f t="shared" si="17"/>
        <v>43.7</v>
      </c>
      <c r="V72" s="60">
        <f t="shared" si="17"/>
        <v>43.7</v>
      </c>
      <c r="W72" s="60">
        <f t="shared" si="17"/>
        <v>43.7</v>
      </c>
      <c r="X72" s="60">
        <f t="shared" si="17"/>
        <v>42.7</v>
      </c>
      <c r="Y72" s="60">
        <f t="shared" si="17"/>
        <v>42.7</v>
      </c>
      <c r="Z72" s="60">
        <f t="shared" si="17"/>
        <v>73.2</v>
      </c>
      <c r="AA72" s="60">
        <f t="shared" si="17"/>
        <v>81.5</v>
      </c>
      <c r="AB72" s="60">
        <f t="shared" si="17"/>
        <v>22.7</v>
      </c>
      <c r="AC72" s="60">
        <f t="shared" si="17"/>
        <v>8.6</v>
      </c>
      <c r="AD72" s="60">
        <f t="shared" si="17"/>
        <v>0</v>
      </c>
      <c r="AE72" s="60">
        <f t="shared" si="17"/>
        <v>0</v>
      </c>
      <c r="AF72" s="60">
        <f t="shared" si="17"/>
        <v>0</v>
      </c>
      <c r="AG72" s="61">
        <f>SUM(AG69:AG71)</f>
        <v>106</v>
      </c>
      <c r="AH72" s="47">
        <f t="shared" si="2"/>
        <v>81.5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-40.9</v>
      </c>
      <c r="C73" s="45">
        <v>-11.2</v>
      </c>
      <c r="D73" s="45">
        <v>-44.6</v>
      </c>
      <c r="E73" s="45">
        <v>-50</v>
      </c>
      <c r="F73" s="45">
        <v>-53</v>
      </c>
      <c r="G73" s="45">
        <v>-57</v>
      </c>
      <c r="H73" s="45">
        <v>-28.9</v>
      </c>
      <c r="I73" s="45">
        <v>-65</v>
      </c>
      <c r="J73" s="45">
        <v>-59</v>
      </c>
      <c r="K73" s="45">
        <v>-68</v>
      </c>
      <c r="L73" s="45">
        <v>-67.2</v>
      </c>
      <c r="M73" s="45">
        <v>-64</v>
      </c>
      <c r="N73" s="45">
        <v>-58</v>
      </c>
      <c r="O73" s="45">
        <v>-50</v>
      </c>
      <c r="P73" s="45">
        <v>-49.945</v>
      </c>
      <c r="Q73" s="45">
        <v>-43</v>
      </c>
      <c r="R73" s="45">
        <v>-43</v>
      </c>
      <c r="S73" s="45">
        <v>-44</v>
      </c>
      <c r="T73" s="45">
        <v>-40.299999999999997</v>
      </c>
      <c r="U73" s="45">
        <v>-35</v>
      </c>
      <c r="V73" s="45">
        <v>-20</v>
      </c>
      <c r="W73" s="45">
        <v>-35</v>
      </c>
      <c r="X73" s="45">
        <v>-49.6</v>
      </c>
      <c r="Y73" s="45">
        <v>-25.5</v>
      </c>
      <c r="Z73" s="45">
        <v>1.7</v>
      </c>
      <c r="AA73" s="45">
        <v>5</v>
      </c>
      <c r="AB73" s="45">
        <v>13.7</v>
      </c>
      <c r="AC73" s="45">
        <v>10.8</v>
      </c>
      <c r="AD73" s="45">
        <v>3.3</v>
      </c>
      <c r="AE73" s="45">
        <v>-29.7</v>
      </c>
      <c r="AF73" s="45">
        <v>-28</v>
      </c>
      <c r="AG73" s="51"/>
      <c r="AH73" s="47">
        <f t="shared" si="2"/>
        <v>13.7</v>
      </c>
      <c r="AI73" s="48">
        <f t="shared" si="3"/>
        <v>-68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-285</v>
      </c>
      <c r="C75" s="64">
        <v>-365</v>
      </c>
      <c r="D75" s="64">
        <v>-386</v>
      </c>
      <c r="E75" s="64">
        <v>-378</v>
      </c>
      <c r="F75" s="64">
        <v>-405.2</v>
      </c>
      <c r="G75" s="64">
        <v>-415</v>
      </c>
      <c r="H75" s="64">
        <v>-453</v>
      </c>
      <c r="I75" s="64">
        <v>-464.5</v>
      </c>
      <c r="J75" s="64">
        <v>-455</v>
      </c>
      <c r="K75" s="64">
        <v>-429</v>
      </c>
      <c r="L75" s="64">
        <v>-439</v>
      </c>
      <c r="M75" s="64">
        <v>-433</v>
      </c>
      <c r="N75" s="64">
        <v>-430</v>
      </c>
      <c r="O75" s="64">
        <v>-367</v>
      </c>
      <c r="P75" s="64">
        <v>-387</v>
      </c>
      <c r="Q75" s="64">
        <v>-352</v>
      </c>
      <c r="R75" s="64">
        <v>-353</v>
      </c>
      <c r="S75" s="64">
        <v>-407</v>
      </c>
      <c r="T75" s="64">
        <v>-374.2</v>
      </c>
      <c r="U75" s="64">
        <v>-349.3</v>
      </c>
      <c r="V75" s="64">
        <v>-390</v>
      </c>
      <c r="W75" s="64">
        <v>-410</v>
      </c>
      <c r="X75" s="64">
        <v>-400.4</v>
      </c>
      <c r="Y75" s="64">
        <v>-370</v>
      </c>
      <c r="Z75" s="64">
        <v>-327</v>
      </c>
      <c r="AA75" s="64">
        <v>-316.3</v>
      </c>
      <c r="AB75" s="64">
        <v>-319</v>
      </c>
      <c r="AC75" s="64">
        <v>-309</v>
      </c>
      <c r="AD75" s="64">
        <v>-318</v>
      </c>
      <c r="AE75" s="64">
        <v>-329</v>
      </c>
      <c r="AF75" s="64">
        <v>-280</v>
      </c>
      <c r="AG75" s="74"/>
      <c r="AH75" s="47">
        <f t="shared" si="2"/>
        <v>-280</v>
      </c>
      <c r="AI75" s="48">
        <f t="shared" si="3"/>
        <v>-464.5</v>
      </c>
      <c r="AK75" s="50"/>
    </row>
    <row r="76" spans="1:40" x14ac:dyDescent="0.25">
      <c r="A76" s="53" t="s">
        <v>84</v>
      </c>
      <c r="B76" s="75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/>
      <c r="AF77" s="45"/>
      <c r="AG77" s="74"/>
      <c r="AH77" s="47">
        <f t="shared" ref="AH77:AH120" si="18">MAX(B77:AF77)</f>
        <v>0</v>
      </c>
      <c r="AI77" s="48">
        <f t="shared" ref="AI77:AI120" si="19">MIN(B77:AF77)</f>
        <v>0</v>
      </c>
      <c r="AK77" s="50"/>
    </row>
    <row r="78" spans="1:40" x14ac:dyDescent="0.25">
      <c r="A78" s="53" t="s">
        <v>86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/>
      <c r="AF78" s="76"/>
      <c r="AG78" s="74"/>
      <c r="AH78" s="47">
        <f t="shared" si="18"/>
        <v>0</v>
      </c>
      <c r="AI78" s="48">
        <f t="shared" si="19"/>
        <v>0</v>
      </c>
      <c r="AK78" s="50"/>
    </row>
    <row r="79" spans="1:40" ht="15.75" thickBot="1" x14ac:dyDescent="0.3">
      <c r="A79" s="53" t="s">
        <v>87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/>
      <c r="AF79" s="76"/>
      <c r="AG79" s="74"/>
      <c r="AH79" s="47">
        <f t="shared" si="18"/>
        <v>0</v>
      </c>
      <c r="AI79" s="48">
        <f t="shared" si="1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>
        <v>0</v>
      </c>
      <c r="AE80" s="76"/>
      <c r="AF80" s="76"/>
      <c r="AG80" s="74"/>
      <c r="AH80" s="47">
        <f t="shared" si="18"/>
        <v>0</v>
      </c>
      <c r="AI80" s="48">
        <f t="shared" si="1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>
        <v>0</v>
      </c>
      <c r="AE81" s="76"/>
      <c r="AF81" s="76"/>
      <c r="AG81" s="74"/>
      <c r="AH81" s="47">
        <f t="shared" si="18"/>
        <v>0</v>
      </c>
      <c r="AI81" s="48">
        <f t="shared" si="1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/>
      <c r="AF82" s="76"/>
      <c r="AG82" s="84"/>
      <c r="AH82" s="47">
        <f t="shared" si="18"/>
        <v>0</v>
      </c>
      <c r="AI82" s="48">
        <f t="shared" si="1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/>
      <c r="AF83" s="76"/>
      <c r="AG83" s="84"/>
      <c r="AH83" s="47">
        <f t="shared" si="18"/>
        <v>0</v>
      </c>
      <c r="AI83" s="48">
        <f t="shared" si="1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" si="20">SUMIF(B73:B83,"&gt;0")</f>
        <v>0</v>
      </c>
      <c r="C84" s="60">
        <f t="shared" ref="C84:AF84" si="21">SUMIF(C73:C83,"&gt;0")</f>
        <v>0</v>
      </c>
      <c r="D84" s="60">
        <f t="shared" ref="D84" si="22">SUMIF(D73:D83,"&gt;0")</f>
        <v>0</v>
      </c>
      <c r="E84" s="60">
        <f t="shared" si="21"/>
        <v>0</v>
      </c>
      <c r="F84" s="60">
        <f t="shared" si="21"/>
        <v>0</v>
      </c>
      <c r="G84" s="60">
        <f t="shared" si="21"/>
        <v>0</v>
      </c>
      <c r="H84" s="60">
        <f t="shared" si="21"/>
        <v>0</v>
      </c>
      <c r="I84" s="60">
        <f t="shared" si="21"/>
        <v>0</v>
      </c>
      <c r="J84" s="60">
        <f t="shared" si="21"/>
        <v>0</v>
      </c>
      <c r="K84" s="60">
        <f t="shared" si="21"/>
        <v>0</v>
      </c>
      <c r="L84" s="60">
        <f t="shared" si="21"/>
        <v>0</v>
      </c>
      <c r="M84" s="60">
        <f t="shared" si="21"/>
        <v>0</v>
      </c>
      <c r="N84" s="60">
        <f t="shared" si="21"/>
        <v>0</v>
      </c>
      <c r="O84" s="60">
        <f t="shared" si="21"/>
        <v>0</v>
      </c>
      <c r="P84" s="60">
        <f t="shared" si="21"/>
        <v>0</v>
      </c>
      <c r="Q84" s="60">
        <f t="shared" si="21"/>
        <v>0</v>
      </c>
      <c r="R84" s="60">
        <f t="shared" si="21"/>
        <v>0</v>
      </c>
      <c r="S84" s="60">
        <f t="shared" si="21"/>
        <v>0</v>
      </c>
      <c r="T84" s="60">
        <f t="shared" si="21"/>
        <v>0</v>
      </c>
      <c r="U84" s="60">
        <f t="shared" si="21"/>
        <v>0</v>
      </c>
      <c r="V84" s="60">
        <f t="shared" si="21"/>
        <v>0</v>
      </c>
      <c r="W84" s="60">
        <f t="shared" si="21"/>
        <v>0</v>
      </c>
      <c r="X84" s="60">
        <f t="shared" si="21"/>
        <v>0</v>
      </c>
      <c r="Y84" s="60">
        <f t="shared" si="21"/>
        <v>0</v>
      </c>
      <c r="Z84" s="60">
        <f t="shared" si="21"/>
        <v>1.7</v>
      </c>
      <c r="AA84" s="60">
        <f t="shared" si="21"/>
        <v>5</v>
      </c>
      <c r="AB84" s="60">
        <f t="shared" si="21"/>
        <v>13.7</v>
      </c>
      <c r="AC84" s="60">
        <f t="shared" si="21"/>
        <v>10.8</v>
      </c>
      <c r="AD84" s="60">
        <f t="shared" si="21"/>
        <v>3.3</v>
      </c>
      <c r="AE84" s="60">
        <f t="shared" si="21"/>
        <v>0</v>
      </c>
      <c r="AF84" s="60">
        <f t="shared" si="21"/>
        <v>0</v>
      </c>
      <c r="AG84" s="87">
        <f>SUM(AG73:AG83)</f>
        <v>0</v>
      </c>
      <c r="AH84" s="47">
        <f t="shared" si="18"/>
        <v>13.7</v>
      </c>
      <c r="AI84" s="48">
        <f t="shared" si="1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8"/>
        <v>0</v>
      </c>
      <c r="AI85" s="48">
        <f t="shared" si="1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8"/>
        <v>0</v>
      </c>
      <c r="AI86" s="48">
        <f t="shared" si="1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8"/>
        <v>0</v>
      </c>
      <c r="AI87" s="48">
        <f t="shared" si="1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8"/>
        <v>0</v>
      </c>
      <c r="AI88" s="48">
        <f t="shared" si="19"/>
        <v>0</v>
      </c>
    </row>
    <row r="89" spans="1:40" ht="15.75" thickBot="1" x14ac:dyDescent="0.3">
      <c r="A89" s="73" t="s">
        <v>100</v>
      </c>
      <c r="B89" s="94">
        <f t="shared" ref="B89" si="23">B50+B54+B72+B68+B84+B88</f>
        <v>2094.14</v>
      </c>
      <c r="C89" s="94">
        <f t="shared" ref="C89:AG89" si="24">C50+C54+C72+C68+C84+C88</f>
        <v>2055.2399999999998</v>
      </c>
      <c r="D89" s="94">
        <f t="shared" ref="D89" si="25">D50+D54+D72+D68+D84+D88</f>
        <v>2068.9399999999996</v>
      </c>
      <c r="E89" s="94">
        <f t="shared" si="24"/>
        <v>2074.44</v>
      </c>
      <c r="F89" s="94">
        <f t="shared" si="24"/>
        <v>2053.14</v>
      </c>
      <c r="G89" s="94">
        <f t="shared" si="24"/>
        <v>2046.2399999999998</v>
      </c>
      <c r="H89" s="94">
        <f t="shared" si="24"/>
        <v>2074.6400000000003</v>
      </c>
      <c r="I89" s="94">
        <f t="shared" si="24"/>
        <v>2082.84</v>
      </c>
      <c r="J89" s="94">
        <f t="shared" si="24"/>
        <v>2100.84</v>
      </c>
      <c r="K89" s="94">
        <f t="shared" si="24"/>
        <v>2129.7399999999998</v>
      </c>
      <c r="L89" s="94">
        <f t="shared" si="24"/>
        <v>2184.2399999999998</v>
      </c>
      <c r="M89" s="94">
        <f t="shared" si="24"/>
        <v>2184.2399999999998</v>
      </c>
      <c r="N89" s="94">
        <f t="shared" si="24"/>
        <v>2144.7399999999998</v>
      </c>
      <c r="O89" s="94">
        <f t="shared" si="24"/>
        <v>2175.2399999999998</v>
      </c>
      <c r="P89" s="94">
        <f t="shared" si="24"/>
        <v>2175.2399999999998</v>
      </c>
      <c r="Q89" s="94">
        <f t="shared" si="24"/>
        <v>2175.2399999999998</v>
      </c>
      <c r="R89" s="94">
        <f t="shared" si="24"/>
        <v>2175.2399999999998</v>
      </c>
      <c r="S89" s="94">
        <f t="shared" si="24"/>
        <v>2235.44</v>
      </c>
      <c r="T89" s="94">
        <f t="shared" si="24"/>
        <v>2239.7399999999998</v>
      </c>
      <c r="U89" s="94">
        <f t="shared" si="24"/>
        <v>2236.6400000000003</v>
      </c>
      <c r="V89" s="94">
        <f t="shared" si="24"/>
        <v>2231.7400000000002</v>
      </c>
      <c r="W89" s="94">
        <f t="shared" si="24"/>
        <v>2229.7400000000002</v>
      </c>
      <c r="X89" s="94">
        <f t="shared" si="24"/>
        <v>2227.6400000000003</v>
      </c>
      <c r="Y89" s="94">
        <f t="shared" si="24"/>
        <v>2237.6400000000003</v>
      </c>
      <c r="Z89" s="94">
        <f t="shared" si="24"/>
        <v>2276.7399999999998</v>
      </c>
      <c r="AA89" s="94">
        <f t="shared" si="24"/>
        <v>2278.94</v>
      </c>
      <c r="AB89" s="94">
        <f t="shared" si="24"/>
        <v>2228.8399999999997</v>
      </c>
      <c r="AC89" s="94">
        <f t="shared" si="24"/>
        <v>2216.84</v>
      </c>
      <c r="AD89" s="94">
        <f t="shared" si="24"/>
        <v>2193.7400000000002</v>
      </c>
      <c r="AE89" s="94">
        <f t="shared" si="24"/>
        <v>2131.54</v>
      </c>
      <c r="AF89" s="94">
        <f t="shared" si="24"/>
        <v>2064.54</v>
      </c>
      <c r="AG89" s="61">
        <f t="shared" si="24"/>
        <v>2111.5500000000002</v>
      </c>
      <c r="AH89" s="47">
        <f t="shared" si="18"/>
        <v>2278.94</v>
      </c>
      <c r="AI89" s="48">
        <f t="shared" si="19"/>
        <v>2046.2399999999998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8"/>
        <v>0</v>
      </c>
      <c r="AI90" s="48">
        <f t="shared" si="19"/>
        <v>0</v>
      </c>
    </row>
    <row r="91" spans="1:40" ht="15.75" thickBot="1" x14ac:dyDescent="0.3">
      <c r="A91" s="73" t="s">
        <v>102</v>
      </c>
      <c r="B91" s="94">
        <f t="shared" ref="B91" si="26">B89+B90</f>
        <v>2094.14</v>
      </c>
      <c r="C91" s="94">
        <f t="shared" ref="C91:AF91" si="27">C89+C90</f>
        <v>2055.2399999999998</v>
      </c>
      <c r="D91" s="94">
        <f t="shared" ref="D91" si="28">D89+D90</f>
        <v>2068.9399999999996</v>
      </c>
      <c r="E91" s="94">
        <f t="shared" si="27"/>
        <v>2074.44</v>
      </c>
      <c r="F91" s="94">
        <f t="shared" si="27"/>
        <v>2053.14</v>
      </c>
      <c r="G91" s="94">
        <f t="shared" si="27"/>
        <v>2046.2399999999998</v>
      </c>
      <c r="H91" s="94">
        <f t="shared" si="27"/>
        <v>2074.6400000000003</v>
      </c>
      <c r="I91" s="94">
        <f t="shared" si="27"/>
        <v>2082.84</v>
      </c>
      <c r="J91" s="94">
        <f t="shared" si="27"/>
        <v>2100.84</v>
      </c>
      <c r="K91" s="94">
        <f t="shared" si="27"/>
        <v>2129.7399999999998</v>
      </c>
      <c r="L91" s="94">
        <f t="shared" si="27"/>
        <v>2184.2399999999998</v>
      </c>
      <c r="M91" s="94">
        <f t="shared" si="27"/>
        <v>2184.2399999999998</v>
      </c>
      <c r="N91" s="94">
        <f t="shared" si="27"/>
        <v>2144.7399999999998</v>
      </c>
      <c r="O91" s="94">
        <f t="shared" si="27"/>
        <v>2175.2399999999998</v>
      </c>
      <c r="P91" s="94">
        <f t="shared" si="27"/>
        <v>2175.2399999999998</v>
      </c>
      <c r="Q91" s="94">
        <f t="shared" si="27"/>
        <v>2175.2399999999998</v>
      </c>
      <c r="R91" s="94">
        <f t="shared" si="27"/>
        <v>2175.2399999999998</v>
      </c>
      <c r="S91" s="94">
        <f t="shared" si="27"/>
        <v>2235.44</v>
      </c>
      <c r="T91" s="94">
        <f t="shared" si="27"/>
        <v>2239.7399999999998</v>
      </c>
      <c r="U91" s="94">
        <f t="shared" si="27"/>
        <v>2236.6400000000003</v>
      </c>
      <c r="V91" s="94">
        <f t="shared" si="27"/>
        <v>2231.7400000000002</v>
      </c>
      <c r="W91" s="94">
        <f t="shared" si="27"/>
        <v>2229.7400000000002</v>
      </c>
      <c r="X91" s="94">
        <f t="shared" si="27"/>
        <v>2227.6400000000003</v>
      </c>
      <c r="Y91" s="94">
        <f t="shared" si="27"/>
        <v>2237.6400000000003</v>
      </c>
      <c r="Z91" s="94">
        <f t="shared" si="27"/>
        <v>2276.7399999999998</v>
      </c>
      <c r="AA91" s="94">
        <f t="shared" si="27"/>
        <v>2278.94</v>
      </c>
      <c r="AB91" s="94">
        <f t="shared" si="27"/>
        <v>2228.8399999999997</v>
      </c>
      <c r="AC91" s="94">
        <f t="shared" si="27"/>
        <v>2216.84</v>
      </c>
      <c r="AD91" s="94">
        <f t="shared" si="27"/>
        <v>2193.7400000000002</v>
      </c>
      <c r="AE91" s="94">
        <f t="shared" si="27"/>
        <v>2131.54</v>
      </c>
      <c r="AF91" s="94">
        <f t="shared" si="27"/>
        <v>2064.54</v>
      </c>
      <c r="AG91" s="87">
        <f>AG88+AG84+AG72+AG68+AG50+AG90</f>
        <v>1573.45</v>
      </c>
      <c r="AH91" s="47">
        <f t="shared" si="18"/>
        <v>2278.94</v>
      </c>
      <c r="AI91" s="48">
        <f t="shared" si="19"/>
        <v>2046.2399999999998</v>
      </c>
    </row>
    <row r="92" spans="1:40" ht="15.75" thickBot="1" x14ac:dyDescent="0.3">
      <c r="A92" s="73" t="s">
        <v>103</v>
      </c>
      <c r="B92" s="94">
        <f t="shared" ref="B92" si="29">B91-(-B99)</f>
        <v>1809.1399999999999</v>
      </c>
      <c r="C92" s="94">
        <f t="shared" ref="C92:AF92" si="30">C91-(-C99)</f>
        <v>1690.2399999999998</v>
      </c>
      <c r="D92" s="94">
        <f t="shared" ref="D92" si="31">D91-(-D99)</f>
        <v>1682.9399999999996</v>
      </c>
      <c r="E92" s="94">
        <f t="shared" si="30"/>
        <v>1696.44</v>
      </c>
      <c r="F92" s="94">
        <f t="shared" si="30"/>
        <v>1647.9399999999998</v>
      </c>
      <c r="G92" s="94">
        <f t="shared" si="30"/>
        <v>1631.2399999999998</v>
      </c>
      <c r="H92" s="94">
        <f t="shared" si="30"/>
        <v>1621.6400000000003</v>
      </c>
      <c r="I92" s="94">
        <f t="shared" si="30"/>
        <v>1618.3400000000001</v>
      </c>
      <c r="J92" s="94">
        <f t="shared" si="30"/>
        <v>1645.8400000000001</v>
      </c>
      <c r="K92" s="94">
        <f t="shared" si="30"/>
        <v>1700.7399999999998</v>
      </c>
      <c r="L92" s="94">
        <f t="shared" si="30"/>
        <v>1745.2399999999998</v>
      </c>
      <c r="M92" s="94">
        <f t="shared" si="30"/>
        <v>1751.2399999999998</v>
      </c>
      <c r="N92" s="94">
        <f t="shared" si="30"/>
        <v>1714.7399999999998</v>
      </c>
      <c r="O92" s="94">
        <f t="shared" si="30"/>
        <v>1808.2399999999998</v>
      </c>
      <c r="P92" s="94">
        <f t="shared" si="30"/>
        <v>1788.2399999999998</v>
      </c>
      <c r="Q92" s="94">
        <f t="shared" si="30"/>
        <v>1823.2399999999998</v>
      </c>
      <c r="R92" s="94">
        <f t="shared" si="30"/>
        <v>1822.2399999999998</v>
      </c>
      <c r="S92" s="94">
        <f t="shared" si="30"/>
        <v>1828.44</v>
      </c>
      <c r="T92" s="94">
        <f t="shared" si="30"/>
        <v>1865.5399999999997</v>
      </c>
      <c r="U92" s="94">
        <f t="shared" si="30"/>
        <v>1887.3400000000004</v>
      </c>
      <c r="V92" s="94">
        <f t="shared" si="30"/>
        <v>1841.7400000000002</v>
      </c>
      <c r="W92" s="94">
        <f t="shared" si="30"/>
        <v>1819.7400000000002</v>
      </c>
      <c r="X92" s="94">
        <f t="shared" si="30"/>
        <v>1827.2400000000002</v>
      </c>
      <c r="Y92" s="94">
        <f t="shared" si="30"/>
        <v>1867.6400000000003</v>
      </c>
      <c r="Z92" s="94">
        <f t="shared" si="30"/>
        <v>1949.7399999999998</v>
      </c>
      <c r="AA92" s="94">
        <f t="shared" si="30"/>
        <v>1962.64</v>
      </c>
      <c r="AB92" s="94">
        <f t="shared" si="30"/>
        <v>1909.8399999999997</v>
      </c>
      <c r="AC92" s="94">
        <f t="shared" si="30"/>
        <v>1907.8400000000001</v>
      </c>
      <c r="AD92" s="94">
        <f t="shared" si="30"/>
        <v>1875.7400000000002</v>
      </c>
      <c r="AE92" s="94">
        <f t="shared" si="30"/>
        <v>1802.54</v>
      </c>
      <c r="AF92" s="94">
        <f t="shared" si="30"/>
        <v>1784.54</v>
      </c>
      <c r="AG92" s="87"/>
      <c r="AH92" s="47">
        <f t="shared" si="18"/>
        <v>1962.64</v>
      </c>
      <c r="AI92" s="48">
        <f t="shared" si="19"/>
        <v>1618.3400000000001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8"/>
        <v>0</v>
      </c>
      <c r="AI93" s="48">
        <f t="shared" si="1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8"/>
        <v>0</v>
      </c>
      <c r="AI94" s="48">
        <f t="shared" si="1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8"/>
        <v>0</v>
      </c>
      <c r="AI95" s="48">
        <f t="shared" si="1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8"/>
        <v>0</v>
      </c>
      <c r="AI96" s="48">
        <f t="shared" si="1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8"/>
        <v>0</v>
      </c>
      <c r="AI97" s="48">
        <f t="shared" si="1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8"/>
        <v>0</v>
      </c>
      <c r="AI98" s="48">
        <f t="shared" si="19"/>
        <v>0</v>
      </c>
    </row>
    <row r="99" spans="1:37" ht="15.75" thickBot="1" x14ac:dyDescent="0.3">
      <c r="A99" s="98" t="s">
        <v>107</v>
      </c>
      <c r="B99" s="60">
        <f t="shared" ref="B99" si="32">B75</f>
        <v>-285</v>
      </c>
      <c r="C99" s="60">
        <f t="shared" ref="C99:AF99" si="33">C75</f>
        <v>-365</v>
      </c>
      <c r="D99" s="60">
        <f t="shared" ref="D99" si="34">D75</f>
        <v>-386</v>
      </c>
      <c r="E99" s="60">
        <f t="shared" si="33"/>
        <v>-378</v>
      </c>
      <c r="F99" s="60">
        <f t="shared" si="33"/>
        <v>-405.2</v>
      </c>
      <c r="G99" s="60">
        <f t="shared" si="33"/>
        <v>-415</v>
      </c>
      <c r="H99" s="60">
        <f t="shared" si="33"/>
        <v>-453</v>
      </c>
      <c r="I99" s="60">
        <f t="shared" si="33"/>
        <v>-464.5</v>
      </c>
      <c r="J99" s="60">
        <f t="shared" si="33"/>
        <v>-455</v>
      </c>
      <c r="K99" s="60">
        <f t="shared" si="33"/>
        <v>-429</v>
      </c>
      <c r="L99" s="60">
        <f t="shared" si="33"/>
        <v>-439</v>
      </c>
      <c r="M99" s="60">
        <f t="shared" si="33"/>
        <v>-433</v>
      </c>
      <c r="N99" s="60">
        <f t="shared" si="33"/>
        <v>-430</v>
      </c>
      <c r="O99" s="60">
        <f t="shared" si="33"/>
        <v>-367</v>
      </c>
      <c r="P99" s="60">
        <f t="shared" si="33"/>
        <v>-387</v>
      </c>
      <c r="Q99" s="60">
        <f t="shared" si="33"/>
        <v>-352</v>
      </c>
      <c r="R99" s="60">
        <f t="shared" si="33"/>
        <v>-353</v>
      </c>
      <c r="S99" s="60">
        <f t="shared" si="33"/>
        <v>-407</v>
      </c>
      <c r="T99" s="60">
        <f t="shared" si="33"/>
        <v>-374.2</v>
      </c>
      <c r="U99" s="60">
        <f t="shared" si="33"/>
        <v>-349.3</v>
      </c>
      <c r="V99" s="60">
        <f t="shared" si="33"/>
        <v>-390</v>
      </c>
      <c r="W99" s="60">
        <f t="shared" si="33"/>
        <v>-410</v>
      </c>
      <c r="X99" s="60">
        <f t="shared" si="33"/>
        <v>-400.4</v>
      </c>
      <c r="Y99" s="60">
        <f t="shared" si="33"/>
        <v>-370</v>
      </c>
      <c r="Z99" s="60">
        <f t="shared" si="33"/>
        <v>-327</v>
      </c>
      <c r="AA99" s="60">
        <f t="shared" si="33"/>
        <v>-316.3</v>
      </c>
      <c r="AB99" s="60">
        <f t="shared" si="33"/>
        <v>-319</v>
      </c>
      <c r="AC99" s="60">
        <f t="shared" si="33"/>
        <v>-309</v>
      </c>
      <c r="AD99" s="60">
        <f t="shared" si="33"/>
        <v>-318</v>
      </c>
      <c r="AE99" s="60">
        <f t="shared" si="33"/>
        <v>-329</v>
      </c>
      <c r="AF99" s="60">
        <f t="shared" si="33"/>
        <v>-280</v>
      </c>
      <c r="AG99" s="87"/>
      <c r="AH99" s="47">
        <f t="shared" si="18"/>
        <v>-280</v>
      </c>
      <c r="AI99" s="48">
        <f t="shared" si="19"/>
        <v>-464.5</v>
      </c>
      <c r="AK99" s="50"/>
    </row>
    <row r="100" spans="1:37" ht="15.75" thickBot="1" x14ac:dyDescent="0.3">
      <c r="A100" s="73" t="s">
        <v>108</v>
      </c>
      <c r="B100" s="60">
        <f t="shared" ref="B100" si="35">B84-B99</f>
        <v>285</v>
      </c>
      <c r="C100" s="60">
        <f t="shared" ref="C100:AF100" si="36">C84-C99</f>
        <v>365</v>
      </c>
      <c r="D100" s="60">
        <f t="shared" ref="D100" si="37">D84-D99</f>
        <v>386</v>
      </c>
      <c r="E100" s="60">
        <f t="shared" si="36"/>
        <v>378</v>
      </c>
      <c r="F100" s="60">
        <f t="shared" si="36"/>
        <v>405.2</v>
      </c>
      <c r="G100" s="60">
        <f t="shared" si="36"/>
        <v>415</v>
      </c>
      <c r="H100" s="60">
        <f t="shared" si="36"/>
        <v>453</v>
      </c>
      <c r="I100" s="60">
        <f t="shared" si="36"/>
        <v>464.5</v>
      </c>
      <c r="J100" s="60">
        <f t="shared" si="36"/>
        <v>455</v>
      </c>
      <c r="K100" s="60">
        <f t="shared" si="36"/>
        <v>429</v>
      </c>
      <c r="L100" s="60">
        <f t="shared" si="36"/>
        <v>439</v>
      </c>
      <c r="M100" s="60">
        <f t="shared" si="36"/>
        <v>433</v>
      </c>
      <c r="N100" s="60">
        <f t="shared" si="36"/>
        <v>430</v>
      </c>
      <c r="O100" s="60">
        <f t="shared" si="36"/>
        <v>367</v>
      </c>
      <c r="P100" s="60">
        <f t="shared" si="36"/>
        <v>387</v>
      </c>
      <c r="Q100" s="60">
        <f t="shared" si="36"/>
        <v>352</v>
      </c>
      <c r="R100" s="60">
        <f t="shared" si="36"/>
        <v>353</v>
      </c>
      <c r="S100" s="60">
        <f t="shared" si="36"/>
        <v>407</v>
      </c>
      <c r="T100" s="60">
        <f t="shared" si="36"/>
        <v>374.2</v>
      </c>
      <c r="U100" s="60">
        <f t="shared" si="36"/>
        <v>349.3</v>
      </c>
      <c r="V100" s="60">
        <f t="shared" si="36"/>
        <v>390</v>
      </c>
      <c r="W100" s="60">
        <f t="shared" si="36"/>
        <v>410</v>
      </c>
      <c r="X100" s="60">
        <f t="shared" si="36"/>
        <v>400.4</v>
      </c>
      <c r="Y100" s="60">
        <f t="shared" si="36"/>
        <v>370</v>
      </c>
      <c r="Z100" s="60">
        <f t="shared" si="36"/>
        <v>328.7</v>
      </c>
      <c r="AA100" s="60">
        <f t="shared" si="36"/>
        <v>321.3</v>
      </c>
      <c r="AB100" s="60">
        <f t="shared" si="36"/>
        <v>332.7</v>
      </c>
      <c r="AC100" s="60">
        <f t="shared" si="36"/>
        <v>319.8</v>
      </c>
      <c r="AD100" s="60">
        <f t="shared" si="36"/>
        <v>321.3</v>
      </c>
      <c r="AE100" s="60">
        <f t="shared" si="36"/>
        <v>329</v>
      </c>
      <c r="AF100" s="60">
        <f t="shared" si="36"/>
        <v>280</v>
      </c>
      <c r="AG100" s="87"/>
      <c r="AH100" s="47">
        <f t="shared" si="18"/>
        <v>464.5</v>
      </c>
      <c r="AI100" s="48">
        <f t="shared" si="19"/>
        <v>280</v>
      </c>
    </row>
    <row r="101" spans="1:37" x14ac:dyDescent="0.25">
      <c r="A101" s="99" t="s">
        <v>109</v>
      </c>
      <c r="B101" s="100">
        <v>50.02</v>
      </c>
      <c r="C101" s="100">
        <v>50</v>
      </c>
      <c r="D101" s="100">
        <v>50.02</v>
      </c>
      <c r="E101" s="100">
        <v>49.965000000000003</v>
      </c>
      <c r="F101" s="100">
        <v>49.997999999999998</v>
      </c>
      <c r="G101" s="100">
        <v>50.02</v>
      </c>
      <c r="H101" s="100">
        <v>49.963999999999999</v>
      </c>
      <c r="I101" s="100">
        <v>49.872999999999998</v>
      </c>
      <c r="J101" s="100">
        <v>49.99</v>
      </c>
      <c r="K101" s="100">
        <v>49.95</v>
      </c>
      <c r="L101" s="100">
        <v>50.058999999999997</v>
      </c>
      <c r="M101" s="100">
        <v>50.058999999999997</v>
      </c>
      <c r="N101" s="100">
        <v>49.973999999999997</v>
      </c>
      <c r="O101" s="100">
        <v>50.07</v>
      </c>
      <c r="P101" s="100">
        <v>49.936999999999998</v>
      </c>
      <c r="Q101" s="100">
        <v>49.991</v>
      </c>
      <c r="R101" s="100">
        <v>49.991</v>
      </c>
      <c r="S101" s="100">
        <v>49.951000000000001</v>
      </c>
      <c r="T101" s="100">
        <v>50.104999999999997</v>
      </c>
      <c r="U101" s="100">
        <v>50.09</v>
      </c>
      <c r="V101" s="100">
        <v>50.03</v>
      </c>
      <c r="W101" s="100">
        <v>50</v>
      </c>
      <c r="X101" s="100">
        <v>50.005000000000003</v>
      </c>
      <c r="Y101" s="100">
        <v>49.993000000000002</v>
      </c>
      <c r="Z101" s="100">
        <v>49.847000000000001</v>
      </c>
      <c r="AA101" s="100">
        <v>49.866999999999997</v>
      </c>
      <c r="AB101" s="100">
        <v>50.036999999999999</v>
      </c>
      <c r="AC101" s="100">
        <v>49.956000000000003</v>
      </c>
      <c r="AD101" s="100">
        <v>50.045000000000002</v>
      </c>
      <c r="AE101" s="100">
        <v>49.96</v>
      </c>
      <c r="AF101" s="100">
        <v>49.96</v>
      </c>
      <c r="AG101" s="101"/>
      <c r="AH101" s="47">
        <f t="shared" si="18"/>
        <v>50.104999999999997</v>
      </c>
      <c r="AI101" s="48">
        <f t="shared" si="19"/>
        <v>49.847000000000001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8"/>
        <v>0</v>
      </c>
      <c r="AI102" s="48">
        <f t="shared" si="19"/>
        <v>0</v>
      </c>
    </row>
    <row r="103" spans="1:37" x14ac:dyDescent="0.25">
      <c r="A103" s="102" t="s">
        <v>111</v>
      </c>
      <c r="B103" s="64">
        <v>129.5</v>
      </c>
      <c r="C103" s="64">
        <v>129.4</v>
      </c>
      <c r="D103" s="64">
        <v>128.9</v>
      </c>
      <c r="E103" s="64">
        <v>129</v>
      </c>
      <c r="F103" s="64">
        <v>129.4</v>
      </c>
      <c r="G103" s="64">
        <v>128.1</v>
      </c>
      <c r="H103" s="64">
        <v>129.1</v>
      </c>
      <c r="I103" s="64">
        <v>128.6</v>
      </c>
      <c r="J103" s="64">
        <v>125.6</v>
      </c>
      <c r="K103" s="64">
        <v>125.6</v>
      </c>
      <c r="L103" s="64">
        <v>124.9</v>
      </c>
      <c r="M103" s="64">
        <v>124.9</v>
      </c>
      <c r="N103" s="64">
        <v>123.7</v>
      </c>
      <c r="O103" s="64">
        <v>123.9</v>
      </c>
      <c r="P103" s="64">
        <v>123</v>
      </c>
      <c r="Q103" s="64">
        <v>124.8</v>
      </c>
      <c r="R103" s="64">
        <v>124.8</v>
      </c>
      <c r="S103" s="64">
        <v>125</v>
      </c>
      <c r="T103" s="64">
        <v>125.9</v>
      </c>
      <c r="U103" s="64">
        <v>125.2</v>
      </c>
      <c r="V103" s="64">
        <v>125.2</v>
      </c>
      <c r="W103" s="64">
        <v>125.2</v>
      </c>
      <c r="X103" s="64">
        <v>127.3</v>
      </c>
      <c r="Y103" s="64">
        <v>125.6</v>
      </c>
      <c r="Z103" s="64">
        <v>125.6</v>
      </c>
      <c r="AA103" s="64">
        <v>128.1</v>
      </c>
      <c r="AB103" s="64">
        <v>128.5</v>
      </c>
      <c r="AC103" s="64">
        <v>128</v>
      </c>
      <c r="AD103" s="64">
        <v>127.5</v>
      </c>
      <c r="AE103" s="64">
        <v>127.4</v>
      </c>
      <c r="AF103" s="64">
        <v>127.4</v>
      </c>
      <c r="AG103" s="103"/>
      <c r="AH103" s="47">
        <f t="shared" si="18"/>
        <v>129.5</v>
      </c>
      <c r="AI103" s="48">
        <f t="shared" si="19"/>
        <v>123</v>
      </c>
    </row>
    <row r="104" spans="1:37" x14ac:dyDescent="0.25">
      <c r="A104" s="102" t="s">
        <v>112</v>
      </c>
      <c r="B104" s="64">
        <v>128.19999999999999</v>
      </c>
      <c r="C104" s="64">
        <v>127.1</v>
      </c>
      <c r="D104" s="64">
        <v>127.4</v>
      </c>
      <c r="E104" s="64">
        <v>129.6</v>
      </c>
      <c r="F104" s="64">
        <v>129.30000000000001</v>
      </c>
      <c r="G104" s="64">
        <v>130.4</v>
      </c>
      <c r="H104" s="64">
        <v>131</v>
      </c>
      <c r="I104" s="64">
        <v>127.3</v>
      </c>
      <c r="J104" s="64">
        <v>126.3</v>
      </c>
      <c r="K104" s="64">
        <v>126.6</v>
      </c>
      <c r="L104" s="64">
        <v>127.9</v>
      </c>
      <c r="M104" s="64">
        <v>127.9</v>
      </c>
      <c r="N104" s="64">
        <v>126.6</v>
      </c>
      <c r="O104" s="64">
        <v>125.6</v>
      </c>
      <c r="P104" s="64">
        <v>127.8</v>
      </c>
      <c r="Q104" s="64">
        <v>127.1</v>
      </c>
      <c r="R104" s="64">
        <v>127.1</v>
      </c>
      <c r="S104" s="64">
        <v>124.5</v>
      </c>
      <c r="T104" s="64">
        <v>123.7</v>
      </c>
      <c r="U104" s="64">
        <v>126.9</v>
      </c>
      <c r="V104" s="64">
        <v>126.9</v>
      </c>
      <c r="W104" s="64">
        <v>126.9</v>
      </c>
      <c r="X104" s="64">
        <v>127</v>
      </c>
      <c r="Y104" s="64">
        <v>120.6</v>
      </c>
      <c r="Z104" s="64">
        <v>128.69999999999999</v>
      </c>
      <c r="AA104" s="64">
        <v>128.6</v>
      </c>
      <c r="AB104" s="64">
        <v>125.7</v>
      </c>
      <c r="AC104" s="64">
        <v>125.6</v>
      </c>
      <c r="AD104" s="64">
        <v>124.9</v>
      </c>
      <c r="AE104" s="64">
        <v>126</v>
      </c>
      <c r="AF104" s="64">
        <v>126</v>
      </c>
      <c r="AG104" s="103"/>
      <c r="AH104" s="47">
        <f t="shared" si="18"/>
        <v>131</v>
      </c>
      <c r="AI104" s="48">
        <f t="shared" si="19"/>
        <v>120.6</v>
      </c>
    </row>
    <row r="105" spans="1:37" x14ac:dyDescent="0.25">
      <c r="A105" s="104" t="s">
        <v>113</v>
      </c>
      <c r="B105" s="64">
        <v>132</v>
      </c>
      <c r="C105" s="64">
        <v>131.4</v>
      </c>
      <c r="D105" s="64">
        <v>131.69999999999999</v>
      </c>
      <c r="E105" s="64">
        <v>133.80000000000001</v>
      </c>
      <c r="F105" s="64">
        <v>129.4</v>
      </c>
      <c r="G105" s="64">
        <v>134.19999999999999</v>
      </c>
      <c r="H105" s="64">
        <v>135.30000000000001</v>
      </c>
      <c r="I105" s="64">
        <v>129.19999999999999</v>
      </c>
      <c r="J105" s="64">
        <v>129.5</v>
      </c>
      <c r="K105" s="64">
        <v>129.80000000000001</v>
      </c>
      <c r="L105" s="64">
        <v>130</v>
      </c>
      <c r="M105" s="64">
        <v>130</v>
      </c>
      <c r="N105" s="64">
        <v>129.4</v>
      </c>
      <c r="O105" s="64">
        <v>126.9</v>
      </c>
      <c r="P105" s="64">
        <v>129.4</v>
      </c>
      <c r="Q105" s="64">
        <v>131</v>
      </c>
      <c r="R105" s="64">
        <v>131</v>
      </c>
      <c r="S105" s="64">
        <v>127</v>
      </c>
      <c r="T105" s="64">
        <v>126.2</v>
      </c>
      <c r="U105" s="64">
        <v>128.19999999999999</v>
      </c>
      <c r="V105" s="64">
        <v>128.19999999999999</v>
      </c>
      <c r="W105" s="64">
        <v>128.19999999999999</v>
      </c>
      <c r="X105" s="64">
        <v>129.69999999999999</v>
      </c>
      <c r="Y105" s="64">
        <v>122.5</v>
      </c>
      <c r="Z105" s="64">
        <v>130.1</v>
      </c>
      <c r="AA105" s="64">
        <v>130.6</v>
      </c>
      <c r="AB105" s="64">
        <v>128.6</v>
      </c>
      <c r="AC105" s="64">
        <v>129</v>
      </c>
      <c r="AD105" s="64">
        <v>127.8</v>
      </c>
      <c r="AE105" s="64">
        <v>129.5</v>
      </c>
      <c r="AF105" s="64">
        <v>129.5</v>
      </c>
      <c r="AG105" s="103"/>
      <c r="AH105" s="47">
        <f t="shared" si="18"/>
        <v>135.30000000000001</v>
      </c>
      <c r="AI105" s="48">
        <f t="shared" si="19"/>
        <v>122.5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18"/>
        <v>0</v>
      </c>
      <c r="AI106" s="48">
        <f t="shared" si="19"/>
        <v>0</v>
      </c>
    </row>
    <row r="107" spans="1:37" x14ac:dyDescent="0.25">
      <c r="A107" s="102" t="s">
        <v>115</v>
      </c>
      <c r="B107" s="64">
        <v>133.80000000000001</v>
      </c>
      <c r="C107" s="64">
        <v>132.6</v>
      </c>
      <c r="D107" s="64">
        <v>134.6</v>
      </c>
      <c r="E107" s="64">
        <v>132.9</v>
      </c>
      <c r="F107" s="64">
        <v>135.4</v>
      </c>
      <c r="G107" s="64">
        <v>130.9</v>
      </c>
      <c r="H107" s="64">
        <v>134.9</v>
      </c>
      <c r="I107" s="64">
        <v>131.69999999999999</v>
      </c>
      <c r="J107" s="64">
        <v>133</v>
      </c>
      <c r="K107" s="64">
        <v>128.30000000000001</v>
      </c>
      <c r="L107" s="64">
        <v>130.69999999999999</v>
      </c>
      <c r="M107" s="64">
        <v>130.69999999999999</v>
      </c>
      <c r="N107" s="64">
        <v>126.5</v>
      </c>
      <c r="O107" s="64">
        <v>130.1</v>
      </c>
      <c r="P107" s="64">
        <v>127.4</v>
      </c>
      <c r="Q107" s="64">
        <v>130.30000000000001</v>
      </c>
      <c r="R107" s="64">
        <v>130.30000000000001</v>
      </c>
      <c r="S107" s="64">
        <v>133</v>
      </c>
      <c r="T107" s="64">
        <v>135.6</v>
      </c>
      <c r="U107" s="64">
        <v>128.80000000000001</v>
      </c>
      <c r="V107" s="64">
        <v>128.80000000000001</v>
      </c>
      <c r="W107" s="64">
        <v>128.80000000000001</v>
      </c>
      <c r="X107" s="64">
        <v>129</v>
      </c>
      <c r="Y107" s="64">
        <v>126.1</v>
      </c>
      <c r="Z107" s="64">
        <v>127.4</v>
      </c>
      <c r="AA107" s="64">
        <v>130.4</v>
      </c>
      <c r="AB107" s="64">
        <v>134</v>
      </c>
      <c r="AC107" s="64">
        <v>134.19999999999999</v>
      </c>
      <c r="AD107" s="64">
        <v>134.5</v>
      </c>
      <c r="AE107" s="64">
        <v>129.19999999999999</v>
      </c>
      <c r="AF107" s="64">
        <v>129.19999999999999</v>
      </c>
      <c r="AG107" s="103"/>
      <c r="AH107" s="47">
        <f t="shared" si="18"/>
        <v>135.6</v>
      </c>
      <c r="AI107" s="48">
        <f t="shared" si="19"/>
        <v>126.1</v>
      </c>
    </row>
    <row r="108" spans="1:37" ht="15.75" thickBot="1" x14ac:dyDescent="0.3">
      <c r="A108" s="102" t="s">
        <v>116</v>
      </c>
      <c r="B108" s="91">
        <v>64.900000000000006</v>
      </c>
      <c r="C108" s="91">
        <v>64.7</v>
      </c>
      <c r="D108" s="91">
        <v>64.5</v>
      </c>
      <c r="E108" s="91">
        <v>64.900000000000006</v>
      </c>
      <c r="F108" s="91">
        <v>64.900000000000006</v>
      </c>
      <c r="G108" s="91">
        <v>64.5</v>
      </c>
      <c r="H108" s="91">
        <v>64.599999999999994</v>
      </c>
      <c r="I108" s="91">
        <v>64.3</v>
      </c>
      <c r="J108" s="91">
        <v>62.8</v>
      </c>
      <c r="K108" s="91">
        <v>62.8</v>
      </c>
      <c r="L108" s="91">
        <v>62.4</v>
      </c>
      <c r="M108" s="91">
        <v>62.4</v>
      </c>
      <c r="N108" s="91">
        <v>62</v>
      </c>
      <c r="O108" s="91">
        <v>62.1</v>
      </c>
      <c r="P108" s="91">
        <v>61.3</v>
      </c>
      <c r="Q108" s="91">
        <v>61.8</v>
      </c>
      <c r="R108" s="91">
        <v>61.8</v>
      </c>
      <c r="S108" s="91">
        <v>62.2</v>
      </c>
      <c r="T108" s="91">
        <v>62.6</v>
      </c>
      <c r="U108" s="91">
        <v>62.4</v>
      </c>
      <c r="V108" s="91">
        <v>62.4</v>
      </c>
      <c r="W108" s="91">
        <v>62.4</v>
      </c>
      <c r="X108" s="91">
        <v>63.5</v>
      </c>
      <c r="Y108" s="91">
        <v>62.7</v>
      </c>
      <c r="Z108" s="91">
        <v>63.1</v>
      </c>
      <c r="AA108" s="91">
        <v>64.3</v>
      </c>
      <c r="AB108" s="91">
        <v>64.599999999999994</v>
      </c>
      <c r="AC108" s="91">
        <v>64.400000000000006</v>
      </c>
      <c r="AD108" s="91">
        <v>64.3</v>
      </c>
      <c r="AE108" s="91">
        <v>63.9</v>
      </c>
      <c r="AF108" s="91">
        <v>63.9</v>
      </c>
      <c r="AG108" s="107"/>
      <c r="AH108" s="47">
        <f t="shared" si="18"/>
        <v>64.900000000000006</v>
      </c>
      <c r="AI108" s="48">
        <f t="shared" si="19"/>
        <v>61.3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8"/>
        <v>0</v>
      </c>
      <c r="AI109" s="48">
        <f t="shared" si="19"/>
        <v>0</v>
      </c>
    </row>
    <row r="110" spans="1:37" ht="15.75" thickBot="1" x14ac:dyDescent="0.3">
      <c r="A110" s="109" t="s">
        <v>118</v>
      </c>
      <c r="B110" s="110">
        <f t="shared" ref="B110" si="38">SUM(B20,B26,B29:B30,B58,B60:B61,B63,B65,B111:B115,B138,B144,B150,B159,B161,B173,B180,B183:B184,B191,B193,B195,B199:B201,B203:B205,B210,B216:B217,B219:B221,B229,B234)</f>
        <v>36.09999999999998</v>
      </c>
      <c r="C110" s="110">
        <f t="shared" ref="C110:O110" si="39">SUM(C20,C26,C29:C30,C58,C60:C61,C63,C65,C111:C115,C138,C144,C150,C159,C161,C173,C180,C183:C184,C191,C193,C195,C199:C201,C203:C205,C210,C216:C217,C219:C221,C229,C234)</f>
        <v>30.939999999999984</v>
      </c>
      <c r="D110" s="110">
        <f t="shared" ref="D110" si="40">SUM(D20,D26,D29:D30,D58,D60:D61,D63,D65,D111:D115,D138,D144,D150,D159,D161,D173,D180,D183:D184,D191,D193,D195,D199:D201,D203:D205,D210,D216:D217,D219:D221,D229,D234)</f>
        <v>43.239999999999995</v>
      </c>
      <c r="E110" s="110">
        <f t="shared" si="39"/>
        <v>28.639999999999997</v>
      </c>
      <c r="F110" s="110">
        <f t="shared" si="39"/>
        <v>31.039999999999981</v>
      </c>
      <c r="G110" s="110">
        <f t="shared" si="39"/>
        <v>39.840000000000018</v>
      </c>
      <c r="H110" s="110">
        <f t="shared" si="39"/>
        <v>70.639999999999986</v>
      </c>
      <c r="I110" s="110">
        <f t="shared" si="39"/>
        <v>132.64000000000001</v>
      </c>
      <c r="J110" s="110">
        <f>SUM(J20,J26,J29:J30,J58,J60:J61,J63,J65,J111:J115,J138,J144,J150,J159,J161,J173,J180,J183:J184,J191,J193,J195,J199:J201,J203:J205,J210,J216:J217,J219:J221,J229,J234)</f>
        <v>174.33999999999997</v>
      </c>
      <c r="K110" s="110">
        <f t="shared" si="39"/>
        <v>165.43999999999994</v>
      </c>
      <c r="L110" s="110">
        <f t="shared" si="39"/>
        <v>204.44</v>
      </c>
      <c r="M110" s="110">
        <f t="shared" si="39"/>
        <v>204.44</v>
      </c>
      <c r="N110" s="110">
        <f t="shared" si="39"/>
        <v>202.84000000000003</v>
      </c>
      <c r="O110" s="110">
        <f t="shared" si="39"/>
        <v>230.14000000000001</v>
      </c>
      <c r="P110" s="110">
        <v>42</v>
      </c>
      <c r="Q110" s="110">
        <f t="shared" ref="Q110:AF110" si="41">SUM(Q20,Q26,Q29:Q30,Q58,Q60:Q61,Q63,Q65,Q111:Q115,Q138,Q144,Q150,Q159,Q161,Q173,Q180,Q183:Q184,Q191,Q193,Q195,Q199:Q201,Q203:Q205,Q210,Q216:Q217,Q219:Q221,Q229,Q234)</f>
        <v>248.09999999999997</v>
      </c>
      <c r="R110" s="110">
        <f t="shared" si="41"/>
        <v>248.09999999999997</v>
      </c>
      <c r="S110" s="110">
        <f t="shared" si="41"/>
        <v>218.41</v>
      </c>
      <c r="T110" s="110">
        <f t="shared" si="41"/>
        <v>218.99999999999994</v>
      </c>
      <c r="U110" s="110">
        <f t="shared" si="41"/>
        <v>196.59999999999994</v>
      </c>
      <c r="V110" s="110">
        <f t="shared" si="41"/>
        <v>193.39999999999998</v>
      </c>
      <c r="W110" s="110">
        <f t="shared" si="41"/>
        <v>204.39999999999998</v>
      </c>
      <c r="X110" s="110">
        <f t="shared" si="41"/>
        <v>204</v>
      </c>
      <c r="Y110" s="110">
        <f t="shared" si="41"/>
        <v>268.19999999999993</v>
      </c>
      <c r="Z110" s="110">
        <f t="shared" si="41"/>
        <v>263.39999999999998</v>
      </c>
      <c r="AA110" s="110">
        <f t="shared" si="41"/>
        <v>232.09999999999997</v>
      </c>
      <c r="AB110" s="110">
        <f t="shared" si="41"/>
        <v>225.5</v>
      </c>
      <c r="AC110" s="110">
        <f t="shared" si="41"/>
        <v>229.5</v>
      </c>
      <c r="AD110" s="110"/>
      <c r="AE110" s="110">
        <f t="shared" si="41"/>
        <v>105.39999999999996</v>
      </c>
      <c r="AF110" s="110">
        <f t="shared" si="41"/>
        <v>73.59999999999998</v>
      </c>
      <c r="AG110" s="111"/>
      <c r="AH110" s="47">
        <f t="shared" si="18"/>
        <v>268.19999999999993</v>
      </c>
      <c r="AI110" s="48">
        <f t="shared" si="19"/>
        <v>28.639999999999997</v>
      </c>
    </row>
    <row r="111" spans="1:37" x14ac:dyDescent="0.25">
      <c r="A111" s="99" t="s">
        <v>119</v>
      </c>
      <c r="B111" s="112">
        <v>34.299999999999997</v>
      </c>
      <c r="C111" s="112">
        <v>36.700000000000003</v>
      </c>
      <c r="D111" s="112">
        <v>44.1</v>
      </c>
      <c r="E111" s="112">
        <v>32.5</v>
      </c>
      <c r="F111" s="112">
        <v>40.6</v>
      </c>
      <c r="G111" s="112">
        <v>50.6</v>
      </c>
      <c r="H111" s="112">
        <v>47.9</v>
      </c>
      <c r="I111" s="112">
        <v>31.8</v>
      </c>
      <c r="J111" s="112">
        <v>32</v>
      </c>
      <c r="K111" s="112">
        <v>35.5</v>
      </c>
      <c r="L111" s="112">
        <v>66.7</v>
      </c>
      <c r="M111" s="112">
        <v>66.7</v>
      </c>
      <c r="N111" s="112">
        <v>65</v>
      </c>
      <c r="O111" s="112">
        <v>54.9</v>
      </c>
      <c r="P111" s="112">
        <v>61.4</v>
      </c>
      <c r="Q111" s="112">
        <v>61.7</v>
      </c>
      <c r="R111" s="112">
        <v>61.7</v>
      </c>
      <c r="S111" s="112">
        <v>66</v>
      </c>
      <c r="T111" s="112">
        <v>67.900000000000006</v>
      </c>
      <c r="U111" s="112">
        <v>65.3</v>
      </c>
      <c r="V111" s="112">
        <v>62</v>
      </c>
      <c r="W111" s="112">
        <v>60</v>
      </c>
      <c r="X111" s="112">
        <v>54.7</v>
      </c>
      <c r="Y111" s="112">
        <v>55.8</v>
      </c>
      <c r="Z111" s="112">
        <v>68</v>
      </c>
      <c r="AA111" s="112">
        <v>52.8</v>
      </c>
      <c r="AB111" s="112">
        <v>59.3</v>
      </c>
      <c r="AC111" s="112">
        <v>60.1</v>
      </c>
      <c r="AD111" s="112">
        <v>61.9</v>
      </c>
      <c r="AE111" s="112">
        <v>38.700000000000003</v>
      </c>
      <c r="AF111" s="112">
        <v>38.700000000000003</v>
      </c>
      <c r="AG111" s="113">
        <v>75</v>
      </c>
      <c r="AH111" s="47">
        <f t="shared" si="18"/>
        <v>68</v>
      </c>
      <c r="AI111" s="48">
        <f t="shared" si="19"/>
        <v>31.8</v>
      </c>
    </row>
    <row r="112" spans="1:37" x14ac:dyDescent="0.25">
      <c r="A112" s="102" t="s">
        <v>120</v>
      </c>
      <c r="B112" s="114">
        <v>50.8</v>
      </c>
      <c r="C112" s="114">
        <v>55.3</v>
      </c>
      <c r="D112" s="114">
        <v>67.5</v>
      </c>
      <c r="E112" s="114">
        <v>52.1</v>
      </c>
      <c r="F112" s="114">
        <v>63.1</v>
      </c>
      <c r="G112" s="114">
        <v>75.8</v>
      </c>
      <c r="H112" s="114">
        <v>69.099999999999994</v>
      </c>
      <c r="I112" s="114">
        <v>45</v>
      </c>
      <c r="J112" s="114">
        <v>53</v>
      </c>
      <c r="K112" s="114">
        <v>50.7</v>
      </c>
      <c r="L112" s="114">
        <v>94.5</v>
      </c>
      <c r="M112" s="114">
        <v>94.5</v>
      </c>
      <c r="N112" s="114">
        <v>92.8</v>
      </c>
      <c r="O112" s="114">
        <v>79.8</v>
      </c>
      <c r="P112" s="114">
        <v>86.4</v>
      </c>
      <c r="Q112" s="114">
        <v>87.6</v>
      </c>
      <c r="R112" s="114">
        <v>87.6</v>
      </c>
      <c r="S112" s="114">
        <v>95</v>
      </c>
      <c r="T112" s="114">
        <v>99.2</v>
      </c>
      <c r="U112" s="114">
        <v>94.7</v>
      </c>
      <c r="V112" s="114">
        <v>90</v>
      </c>
      <c r="W112" s="114">
        <v>86</v>
      </c>
      <c r="X112" s="114">
        <v>77.2</v>
      </c>
      <c r="Y112" s="114">
        <v>77.2</v>
      </c>
      <c r="Z112" s="114">
        <v>99.5</v>
      </c>
      <c r="AA112" s="114">
        <v>76.8</v>
      </c>
      <c r="AB112" s="114">
        <v>87.6</v>
      </c>
      <c r="AC112" s="114">
        <v>88.8</v>
      </c>
      <c r="AD112" s="114">
        <v>90</v>
      </c>
      <c r="AE112" s="114">
        <v>57.4</v>
      </c>
      <c r="AF112" s="114">
        <v>57.4</v>
      </c>
      <c r="AG112" s="113">
        <v>240</v>
      </c>
      <c r="AH112" s="47">
        <f t="shared" si="18"/>
        <v>99.5</v>
      </c>
      <c r="AI112" s="48">
        <f t="shared" si="19"/>
        <v>45</v>
      </c>
    </row>
    <row r="113" spans="1:37" x14ac:dyDescent="0.25">
      <c r="A113" s="102" t="s">
        <v>121</v>
      </c>
      <c r="B113" s="114">
        <f>-98.8-103.2</f>
        <v>-202</v>
      </c>
      <c r="C113" s="114">
        <f>-98.9-108</f>
        <v>-206.9</v>
      </c>
      <c r="D113" s="114">
        <f>-103.6-109.6</f>
        <v>-213.2</v>
      </c>
      <c r="E113" s="114">
        <f>-100-104.6</f>
        <v>-204.6</v>
      </c>
      <c r="F113" s="114">
        <f>-101-105</f>
        <v>-206</v>
      </c>
      <c r="G113" s="114">
        <f>-98-103.6</f>
        <v>-201.6</v>
      </c>
      <c r="H113" s="114">
        <f>-101-105.6</f>
        <v>-206.6</v>
      </c>
      <c r="I113" s="114">
        <f>-61-65</f>
        <v>-126</v>
      </c>
      <c r="J113" s="114">
        <v>-124</v>
      </c>
      <c r="K113" s="114">
        <f>-60-62.3</f>
        <v>-122.3</v>
      </c>
      <c r="L113" s="114">
        <f>-99-102.8</f>
        <v>-201.8</v>
      </c>
      <c r="M113" s="114">
        <f>-99-102.8</f>
        <v>-201.8</v>
      </c>
      <c r="N113" s="114">
        <v>-184</v>
      </c>
      <c r="O113" s="114">
        <v>-160</v>
      </c>
      <c r="P113" s="114">
        <v>-192</v>
      </c>
      <c r="Q113" s="114">
        <v>-148</v>
      </c>
      <c r="R113" s="114">
        <v>-148</v>
      </c>
      <c r="S113" s="114">
        <v>-192</v>
      </c>
      <c r="T113" s="114">
        <v>-189</v>
      </c>
      <c r="U113" s="114">
        <v>-185</v>
      </c>
      <c r="V113" s="114">
        <v>-182</v>
      </c>
      <c r="W113" s="114">
        <v>-180</v>
      </c>
      <c r="X113" s="114">
        <v>-167</v>
      </c>
      <c r="Y113" s="114">
        <v>-120</v>
      </c>
      <c r="Z113" s="114">
        <v>-170</v>
      </c>
      <c r="AA113" s="114">
        <v>-165</v>
      </c>
      <c r="AB113" s="114">
        <v>-163</v>
      </c>
      <c r="AC113" s="114">
        <v>-155</v>
      </c>
      <c r="AD113" s="114">
        <v>-180</v>
      </c>
      <c r="AE113" s="114">
        <v>-190</v>
      </c>
      <c r="AF113" s="114">
        <v>-190</v>
      </c>
      <c r="AG113" s="113">
        <v>240</v>
      </c>
      <c r="AH113" s="47">
        <f t="shared" si="18"/>
        <v>-120</v>
      </c>
      <c r="AI113" s="48">
        <f t="shared" si="19"/>
        <v>-213.2</v>
      </c>
    </row>
    <row r="114" spans="1:37" x14ac:dyDescent="0.25">
      <c r="A114" s="102" t="s">
        <v>122</v>
      </c>
      <c r="B114" s="114">
        <v>-31.7</v>
      </c>
      <c r="C114" s="114">
        <v>-30.5</v>
      </c>
      <c r="D114" s="114">
        <v>-34.6</v>
      </c>
      <c r="E114" s="114">
        <v>-28.9</v>
      </c>
      <c r="F114" s="114">
        <v>-29.9</v>
      </c>
      <c r="G114" s="114">
        <v>-28.1</v>
      </c>
      <c r="H114" s="114">
        <v>-31.4</v>
      </c>
      <c r="I114" s="114">
        <v>-15.6</v>
      </c>
      <c r="J114" s="114"/>
      <c r="K114" s="114">
        <v>-19.3</v>
      </c>
      <c r="L114" s="114">
        <v>-0.5</v>
      </c>
      <c r="M114" s="114">
        <v>-0.5</v>
      </c>
      <c r="N114" s="114">
        <v>-7.2</v>
      </c>
      <c r="O114" s="114">
        <v>9.5</v>
      </c>
      <c r="P114" s="114">
        <v>7.1</v>
      </c>
      <c r="Q114" s="114">
        <v>21.6</v>
      </c>
      <c r="R114" s="114">
        <v>21.6</v>
      </c>
      <c r="S114" s="114">
        <v>17.5</v>
      </c>
      <c r="T114" s="114">
        <v>14.4</v>
      </c>
      <c r="U114" s="114">
        <v>14.7</v>
      </c>
      <c r="V114" s="114">
        <v>15</v>
      </c>
      <c r="W114" s="114">
        <v>16</v>
      </c>
      <c r="X114" s="114">
        <v>18.3</v>
      </c>
      <c r="Y114" s="114">
        <v>25.5</v>
      </c>
      <c r="Z114" s="114">
        <v>30.1</v>
      </c>
      <c r="AA114" s="114">
        <v>35.1</v>
      </c>
      <c r="AB114" s="114">
        <v>8</v>
      </c>
      <c r="AC114" s="114">
        <v>2</v>
      </c>
      <c r="AD114" s="114">
        <v>-3.6</v>
      </c>
      <c r="AE114" s="114">
        <v>-12</v>
      </c>
      <c r="AF114" s="114">
        <v>-12</v>
      </c>
      <c r="AG114" s="113">
        <v>60</v>
      </c>
      <c r="AH114" s="47">
        <f t="shared" si="18"/>
        <v>35.1</v>
      </c>
      <c r="AI114" s="48">
        <f t="shared" si="19"/>
        <v>-34.6</v>
      </c>
    </row>
    <row r="115" spans="1:37" x14ac:dyDescent="0.25">
      <c r="A115" s="115" t="s">
        <v>123</v>
      </c>
      <c r="B115" s="116">
        <v>13.9</v>
      </c>
      <c r="C115" s="116">
        <v>18.7</v>
      </c>
      <c r="D115" s="116">
        <v>18.899999999999999</v>
      </c>
      <c r="E115" s="116">
        <v>14</v>
      </c>
      <c r="F115" s="116">
        <v>14.1</v>
      </c>
      <c r="G115" s="116">
        <v>18.8</v>
      </c>
      <c r="H115" s="116">
        <v>18.8</v>
      </c>
      <c r="I115" s="116">
        <v>22.3</v>
      </c>
      <c r="J115" s="116">
        <v>35.200000000000003</v>
      </c>
      <c r="K115" s="116">
        <v>35.200000000000003</v>
      </c>
      <c r="L115" s="116">
        <v>43</v>
      </c>
      <c r="M115" s="116">
        <v>43</v>
      </c>
      <c r="N115" s="116">
        <v>43.7</v>
      </c>
      <c r="O115" s="116">
        <v>43.4</v>
      </c>
      <c r="P115" s="116">
        <v>43.7</v>
      </c>
      <c r="Q115" s="116">
        <v>23.6</v>
      </c>
      <c r="R115" s="116">
        <v>23.6</v>
      </c>
      <c r="S115" s="116">
        <v>23.41</v>
      </c>
      <c r="T115" s="116">
        <v>28.1</v>
      </c>
      <c r="U115" s="116">
        <v>13.6</v>
      </c>
      <c r="V115" s="116">
        <v>20</v>
      </c>
      <c r="W115" s="116">
        <v>36</v>
      </c>
      <c r="X115" s="116">
        <v>35.5</v>
      </c>
      <c r="Y115" s="116">
        <v>34.4</v>
      </c>
      <c r="Z115" s="116">
        <v>39.4</v>
      </c>
      <c r="AA115" s="116">
        <v>39.799999999999997</v>
      </c>
      <c r="AB115" s="116">
        <v>41</v>
      </c>
      <c r="AC115" s="116">
        <v>41</v>
      </c>
      <c r="AD115" s="116">
        <v>41</v>
      </c>
      <c r="AE115" s="116">
        <v>41.3</v>
      </c>
      <c r="AF115" s="116">
        <v>41.3</v>
      </c>
      <c r="AG115" s="117">
        <v>120</v>
      </c>
      <c r="AH115" s="47">
        <f t="shared" si="18"/>
        <v>43.7</v>
      </c>
      <c r="AI115" s="48">
        <f t="shared" si="19"/>
        <v>13.6</v>
      </c>
    </row>
    <row r="116" spans="1:37" x14ac:dyDescent="0.25">
      <c r="A116" s="115" t="s">
        <v>124</v>
      </c>
      <c r="B116" s="116">
        <v>75.400000000000006</v>
      </c>
      <c r="C116" s="116">
        <v>46.2</v>
      </c>
      <c r="D116" s="116">
        <v>33.6</v>
      </c>
      <c r="E116" s="116">
        <v>42.6</v>
      </c>
      <c r="F116" s="116">
        <v>41.2</v>
      </c>
      <c r="G116" s="116">
        <v>60.7</v>
      </c>
      <c r="H116" s="116">
        <v>31.3</v>
      </c>
      <c r="I116" s="116">
        <v>32.200000000000003</v>
      </c>
      <c r="J116" s="116">
        <v>39.1</v>
      </c>
      <c r="K116" s="116">
        <v>49</v>
      </c>
      <c r="L116" s="116">
        <v>35.200000000000003</v>
      </c>
      <c r="M116" s="116">
        <v>35.200000000000003</v>
      </c>
      <c r="N116" s="116">
        <v>28.7</v>
      </c>
      <c r="O116" s="116">
        <v>51.6</v>
      </c>
      <c r="P116" s="116">
        <v>39.299999999999997</v>
      </c>
      <c r="Q116" s="116">
        <v>55.2</v>
      </c>
      <c r="R116" s="116">
        <v>55.2</v>
      </c>
      <c r="S116" s="116">
        <v>43.8</v>
      </c>
      <c r="T116" s="116">
        <v>38.6</v>
      </c>
      <c r="U116" s="116">
        <v>36.299999999999997</v>
      </c>
      <c r="V116" s="116">
        <v>20</v>
      </c>
      <c r="W116" s="116">
        <v>16</v>
      </c>
      <c r="X116" s="116">
        <v>36.6</v>
      </c>
      <c r="Y116" s="116">
        <v>73.900000000000006</v>
      </c>
      <c r="Z116" s="116">
        <v>40.299999999999997</v>
      </c>
      <c r="AA116" s="116">
        <v>46.3</v>
      </c>
      <c r="AB116" s="116">
        <v>30</v>
      </c>
      <c r="AC116" s="116">
        <v>40</v>
      </c>
      <c r="AD116" s="116">
        <v>34</v>
      </c>
      <c r="AE116" s="116">
        <v>40</v>
      </c>
      <c r="AF116" s="116">
        <v>40</v>
      </c>
      <c r="AG116" s="117"/>
      <c r="AH116" s="47">
        <f t="shared" si="18"/>
        <v>75.400000000000006</v>
      </c>
      <c r="AI116" s="48">
        <f t="shared" si="19"/>
        <v>16</v>
      </c>
    </row>
    <row r="117" spans="1:37" x14ac:dyDescent="0.25">
      <c r="A117" s="115" t="s">
        <v>125</v>
      </c>
      <c r="B117" s="116">
        <v>12.5</v>
      </c>
      <c r="C117" s="116">
        <v>11.2</v>
      </c>
      <c r="D117" s="116">
        <v>13.4</v>
      </c>
      <c r="E117" s="116">
        <v>18.100000000000001</v>
      </c>
      <c r="F117" s="116">
        <v>10</v>
      </c>
      <c r="G117" s="116">
        <v>13.1</v>
      </c>
      <c r="H117" s="116">
        <v>7.3</v>
      </c>
      <c r="I117" s="116">
        <v>-3</v>
      </c>
      <c r="J117" s="116">
        <v>-1.2</v>
      </c>
      <c r="K117" s="116">
        <v>1.9</v>
      </c>
      <c r="L117" s="116">
        <v>4.0999999999999996</v>
      </c>
      <c r="M117" s="116">
        <v>4.0999999999999996</v>
      </c>
      <c r="N117" s="116">
        <v>-8.1999999999999993</v>
      </c>
      <c r="O117" s="116">
        <v>6.7</v>
      </c>
      <c r="P117" s="116">
        <v>4.2</v>
      </c>
      <c r="Q117" s="116">
        <v>-2.7</v>
      </c>
      <c r="R117" s="116">
        <v>-2.7</v>
      </c>
      <c r="S117" s="116">
        <v>-3.2</v>
      </c>
      <c r="T117" s="116">
        <v>3.2</v>
      </c>
      <c r="U117" s="116">
        <v>2.1</v>
      </c>
      <c r="V117" s="116">
        <v>2</v>
      </c>
      <c r="W117" s="116">
        <v>2</v>
      </c>
      <c r="X117" s="116">
        <v>5.4</v>
      </c>
      <c r="Y117" s="116">
        <v>4.3</v>
      </c>
      <c r="Z117" s="116">
        <v>3.2</v>
      </c>
      <c r="AA117" s="116">
        <v>12.6</v>
      </c>
      <c r="AB117" s="116">
        <v>12</v>
      </c>
      <c r="AC117" s="116">
        <v>11</v>
      </c>
      <c r="AD117" s="116">
        <v>11</v>
      </c>
      <c r="AE117" s="116">
        <v>28</v>
      </c>
      <c r="AF117" s="116">
        <v>28</v>
      </c>
      <c r="AG117" s="118"/>
      <c r="AH117" s="47">
        <f t="shared" si="18"/>
        <v>28</v>
      </c>
      <c r="AI117" s="48">
        <f t="shared" si="19"/>
        <v>-8.1999999999999993</v>
      </c>
    </row>
    <row r="118" spans="1:37" x14ac:dyDescent="0.25">
      <c r="A118" s="119" t="s">
        <v>126</v>
      </c>
      <c r="B118" s="105">
        <v>50.7</v>
      </c>
      <c r="C118" s="105">
        <v>55.8</v>
      </c>
      <c r="D118" s="105">
        <v>56.1</v>
      </c>
      <c r="E118" s="105">
        <v>57.8</v>
      </c>
      <c r="F118" s="105">
        <v>59.4</v>
      </c>
      <c r="G118" s="105">
        <v>61.8</v>
      </c>
      <c r="H118" s="105">
        <v>64.5</v>
      </c>
      <c r="I118" s="105">
        <v>62.8</v>
      </c>
      <c r="J118" s="105">
        <v>60.1</v>
      </c>
      <c r="K118" s="105">
        <v>56.5</v>
      </c>
      <c r="L118" s="105">
        <v>49.3</v>
      </c>
      <c r="M118" s="105">
        <v>49.3</v>
      </c>
      <c r="N118" s="105">
        <v>50</v>
      </c>
      <c r="O118" s="105">
        <v>32.4</v>
      </c>
      <c r="P118" s="105">
        <v>35.6</v>
      </c>
      <c r="Q118" s="105">
        <v>42.3</v>
      </c>
      <c r="R118" s="105">
        <v>42.3</v>
      </c>
      <c r="S118" s="105">
        <v>40.799999999999997</v>
      </c>
      <c r="T118" s="105">
        <v>42.6</v>
      </c>
      <c r="U118" s="105">
        <v>20.399999999999999</v>
      </c>
      <c r="V118" s="105">
        <v>22</v>
      </c>
      <c r="W118" s="105">
        <v>24</v>
      </c>
      <c r="X118" s="105">
        <v>23.9</v>
      </c>
      <c r="Y118" s="105">
        <v>10.8</v>
      </c>
      <c r="Z118" s="105">
        <v>30.5</v>
      </c>
      <c r="AA118" s="105">
        <v>27.1</v>
      </c>
      <c r="AB118" s="105">
        <v>32</v>
      </c>
      <c r="AC118" s="105">
        <v>33</v>
      </c>
      <c r="AD118" s="105">
        <v>34</v>
      </c>
      <c r="AE118" s="105">
        <v>42</v>
      </c>
      <c r="AF118" s="105">
        <v>42</v>
      </c>
      <c r="AG118" s="118"/>
      <c r="AH118" s="47">
        <f t="shared" si="18"/>
        <v>64.5</v>
      </c>
      <c r="AI118" s="48">
        <f t="shared" si="19"/>
        <v>10.8</v>
      </c>
    </row>
    <row r="119" spans="1:37" x14ac:dyDescent="0.25">
      <c r="A119" s="120" t="s">
        <v>127</v>
      </c>
      <c r="B119" s="105">
        <v>91.5</v>
      </c>
      <c r="C119" s="105">
        <v>96.8</v>
      </c>
      <c r="D119" s="105">
        <v>103</v>
      </c>
      <c r="E119" s="105">
        <v>99.3</v>
      </c>
      <c r="F119" s="105">
        <v>99.3</v>
      </c>
      <c r="G119" s="105">
        <v>97</v>
      </c>
      <c r="H119" s="105">
        <v>96.9</v>
      </c>
      <c r="I119" s="105">
        <v>95.3</v>
      </c>
      <c r="J119" s="105">
        <v>89.2</v>
      </c>
      <c r="K119" s="105">
        <v>81.2</v>
      </c>
      <c r="L119" s="105">
        <v>97.3</v>
      </c>
      <c r="M119" s="105">
        <v>97.3</v>
      </c>
      <c r="N119" s="105">
        <v>90</v>
      </c>
      <c r="O119" s="105">
        <v>85.2</v>
      </c>
      <c r="P119" s="105">
        <v>93</v>
      </c>
      <c r="Q119" s="105">
        <v>85.4</v>
      </c>
      <c r="R119" s="105">
        <v>85.4</v>
      </c>
      <c r="S119" s="105">
        <v>95</v>
      </c>
      <c r="T119" s="105">
        <v>91.1</v>
      </c>
      <c r="U119" s="105">
        <v>91.7</v>
      </c>
      <c r="V119" s="105">
        <v>91</v>
      </c>
      <c r="W119" s="105">
        <v>93</v>
      </c>
      <c r="X119" s="105">
        <v>85.7</v>
      </c>
      <c r="Y119" s="105">
        <v>80</v>
      </c>
      <c r="Z119" s="105">
        <v>88.4</v>
      </c>
      <c r="AA119" s="105">
        <v>89</v>
      </c>
      <c r="AB119" s="105">
        <v>85</v>
      </c>
      <c r="AC119" s="105">
        <v>78</v>
      </c>
      <c r="AD119" s="105">
        <v>90</v>
      </c>
      <c r="AE119" s="105">
        <v>93</v>
      </c>
      <c r="AF119" s="105">
        <v>93</v>
      </c>
      <c r="AG119" s="118"/>
      <c r="AH119" s="47">
        <f t="shared" si="18"/>
        <v>103</v>
      </c>
      <c r="AI119" s="48">
        <f t="shared" si="19"/>
        <v>78</v>
      </c>
    </row>
    <row r="120" spans="1:37" ht="15.75" thickBot="1" x14ac:dyDescent="0.3">
      <c r="A120" s="119" t="s">
        <v>128</v>
      </c>
      <c r="B120" s="105">
        <v>31.5</v>
      </c>
      <c r="C120" s="105">
        <v>28.9</v>
      </c>
      <c r="D120" s="105">
        <v>23.3</v>
      </c>
      <c r="E120" s="105">
        <v>17</v>
      </c>
      <c r="F120" s="105">
        <v>10.4</v>
      </c>
      <c r="G120" s="105">
        <v>6.4</v>
      </c>
      <c r="H120" s="105">
        <v>-2.7</v>
      </c>
      <c r="I120" s="105">
        <v>0.9</v>
      </c>
      <c r="J120" s="105">
        <v>5</v>
      </c>
      <c r="K120" s="105">
        <v>4.0999999999999996</v>
      </c>
      <c r="L120" s="105">
        <v>11.6</v>
      </c>
      <c r="M120" s="105">
        <v>11.6</v>
      </c>
      <c r="N120" s="105">
        <v>13.5</v>
      </c>
      <c r="O120" s="105">
        <v>18</v>
      </c>
      <c r="P120" s="105">
        <v>24.6</v>
      </c>
      <c r="Q120" s="105">
        <v>21.3</v>
      </c>
      <c r="R120" s="105">
        <v>21.3</v>
      </c>
      <c r="S120" s="105">
        <v>21.6</v>
      </c>
      <c r="T120" s="105">
        <v>22.4</v>
      </c>
      <c r="U120" s="105">
        <v>28.9</v>
      </c>
      <c r="V120" s="105">
        <v>25</v>
      </c>
      <c r="W120" s="105">
        <v>18</v>
      </c>
      <c r="X120" s="105">
        <v>22.3</v>
      </c>
      <c r="Y120" s="105">
        <v>49</v>
      </c>
      <c r="Z120" s="105">
        <v>35.5</v>
      </c>
      <c r="AA120" s="105">
        <v>41</v>
      </c>
      <c r="AB120" s="105">
        <v>49.1</v>
      </c>
      <c r="AC120" s="105">
        <v>46</v>
      </c>
      <c r="AD120" s="105">
        <v>51.2</v>
      </c>
      <c r="AE120" s="105">
        <v>40</v>
      </c>
      <c r="AF120" s="105">
        <v>40</v>
      </c>
      <c r="AG120" s="118"/>
      <c r="AH120" s="47">
        <f t="shared" si="18"/>
        <v>51.2</v>
      </c>
      <c r="AI120" s="48">
        <f t="shared" si="19"/>
        <v>-2.7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42">SUM(B122:B226)</f>
        <v>0</v>
      </c>
      <c r="C227" s="136">
        <f t="shared" si="42"/>
        <v>0</v>
      </c>
      <c r="D227" s="136">
        <f t="shared" si="42"/>
        <v>0</v>
      </c>
      <c r="E227" s="136">
        <f t="shared" si="42"/>
        <v>0</v>
      </c>
      <c r="F227" s="136">
        <f t="shared" si="42"/>
        <v>0</v>
      </c>
      <c r="G227" s="136">
        <f t="shared" si="42"/>
        <v>0</v>
      </c>
      <c r="H227" s="136">
        <f t="shared" si="42"/>
        <v>0</v>
      </c>
      <c r="I227" s="136">
        <f t="shared" si="42"/>
        <v>0</v>
      </c>
      <c r="J227" s="136">
        <f t="shared" si="42"/>
        <v>0</v>
      </c>
      <c r="K227" s="136">
        <f t="shared" si="42"/>
        <v>0</v>
      </c>
      <c r="L227" s="136">
        <f t="shared" si="42"/>
        <v>0</v>
      </c>
      <c r="M227" s="136">
        <f t="shared" si="42"/>
        <v>0</v>
      </c>
      <c r="N227" s="136">
        <f t="shared" si="42"/>
        <v>0</v>
      </c>
      <c r="O227" s="136">
        <f t="shared" si="42"/>
        <v>0</v>
      </c>
      <c r="P227" s="136">
        <f t="shared" si="42"/>
        <v>0</v>
      </c>
      <c r="Q227" s="136">
        <f t="shared" si="42"/>
        <v>0</v>
      </c>
      <c r="R227" s="136">
        <f t="shared" si="42"/>
        <v>0</v>
      </c>
      <c r="S227" s="136">
        <f t="shared" si="42"/>
        <v>0</v>
      </c>
      <c r="T227" s="136">
        <f t="shared" si="42"/>
        <v>0</v>
      </c>
      <c r="U227" s="136">
        <f t="shared" si="42"/>
        <v>0</v>
      </c>
      <c r="V227" s="136">
        <f t="shared" si="42"/>
        <v>0</v>
      </c>
      <c r="W227" s="136">
        <f t="shared" si="42"/>
        <v>0</v>
      </c>
      <c r="X227" s="136">
        <f t="shared" si="42"/>
        <v>0</v>
      </c>
      <c r="Y227" s="136">
        <f t="shared" si="42"/>
        <v>0</v>
      </c>
      <c r="Z227" s="136">
        <f t="shared" si="42"/>
        <v>0</v>
      </c>
      <c r="AA227" s="136">
        <f t="shared" si="42"/>
        <v>0</v>
      </c>
      <c r="AB227" s="136">
        <f t="shared" si="42"/>
        <v>0</v>
      </c>
      <c r="AC227" s="136">
        <f t="shared" si="42"/>
        <v>0</v>
      </c>
      <c r="AD227" s="136">
        <f t="shared" si="42"/>
        <v>0</v>
      </c>
      <c r="AE227" s="136">
        <f t="shared" si="42"/>
        <v>0</v>
      </c>
      <c r="AF227" s="137">
        <f t="shared" si="42"/>
        <v>0</v>
      </c>
      <c r="AG227" s="138">
        <f t="shared" si="42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43">AF229</f>
        <v>0</v>
      </c>
      <c r="C229" s="140">
        <v>0.3</v>
      </c>
      <c r="D229" s="140">
        <f t="shared" ref="D229:P234" si="44">C229</f>
        <v>0.3</v>
      </c>
      <c r="E229" s="140">
        <f t="shared" si="44"/>
        <v>0.3</v>
      </c>
      <c r="F229" s="140">
        <f t="shared" si="44"/>
        <v>0.3</v>
      </c>
      <c r="G229" s="140">
        <f t="shared" si="44"/>
        <v>0.3</v>
      </c>
      <c r="H229" s="140">
        <f t="shared" si="44"/>
        <v>0.3</v>
      </c>
      <c r="I229" s="140">
        <f t="shared" si="44"/>
        <v>0.3</v>
      </c>
      <c r="J229" s="140">
        <f t="shared" si="44"/>
        <v>0.3</v>
      </c>
      <c r="K229" s="140">
        <f t="shared" si="44"/>
        <v>0.3</v>
      </c>
      <c r="L229" s="140">
        <f t="shared" si="44"/>
        <v>0.3</v>
      </c>
      <c r="M229" s="140">
        <f t="shared" si="44"/>
        <v>0.3</v>
      </c>
      <c r="N229" s="140">
        <f t="shared" si="44"/>
        <v>0.3</v>
      </c>
      <c r="O229" s="140">
        <f t="shared" si="44"/>
        <v>0.3</v>
      </c>
      <c r="P229" s="140">
        <f t="shared" si="44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43"/>
        <v>0</v>
      </c>
      <c r="C230" s="128">
        <v>0.4</v>
      </c>
      <c r="D230" s="128">
        <f t="shared" si="44"/>
        <v>0.4</v>
      </c>
      <c r="E230" s="128">
        <f t="shared" si="44"/>
        <v>0.4</v>
      </c>
      <c r="F230" s="128">
        <f t="shared" si="44"/>
        <v>0.4</v>
      </c>
      <c r="G230" s="128">
        <f t="shared" si="44"/>
        <v>0.4</v>
      </c>
      <c r="H230" s="128">
        <f t="shared" si="44"/>
        <v>0.4</v>
      </c>
      <c r="I230" s="128">
        <f t="shared" si="44"/>
        <v>0.4</v>
      </c>
      <c r="J230" s="128">
        <f t="shared" si="44"/>
        <v>0.4</v>
      </c>
      <c r="K230" s="128">
        <f t="shared" si="44"/>
        <v>0.4</v>
      </c>
      <c r="L230" s="128">
        <f t="shared" si="44"/>
        <v>0.4</v>
      </c>
      <c r="M230" s="128">
        <f t="shared" si="44"/>
        <v>0.4</v>
      </c>
      <c r="N230" s="128">
        <f t="shared" si="44"/>
        <v>0.4</v>
      </c>
      <c r="O230" s="128">
        <f t="shared" si="44"/>
        <v>0.4</v>
      </c>
      <c r="P230" s="128">
        <f t="shared" si="44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43"/>
        <v>0</v>
      </c>
      <c r="C231" s="128">
        <v>1.5</v>
      </c>
      <c r="D231" s="128">
        <f t="shared" si="44"/>
        <v>1.5</v>
      </c>
      <c r="E231" s="128">
        <f t="shared" si="44"/>
        <v>1.5</v>
      </c>
      <c r="F231" s="128">
        <f t="shared" si="44"/>
        <v>1.5</v>
      </c>
      <c r="G231" s="128">
        <f t="shared" si="44"/>
        <v>1.5</v>
      </c>
      <c r="H231" s="128">
        <f t="shared" si="44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44"/>
        <v>123.21900000000009</v>
      </c>
      <c r="K231" s="128">
        <f t="shared" ca="1" si="44"/>
        <v>123.21900000000009</v>
      </c>
      <c r="L231" s="128">
        <f t="shared" ca="1" si="44"/>
        <v>123.21900000000009</v>
      </c>
      <c r="M231" s="128">
        <f t="shared" ca="1" si="44"/>
        <v>119.19900000000008</v>
      </c>
      <c r="N231" s="128">
        <f t="shared" ca="1" si="44"/>
        <v>119.19900000000008</v>
      </c>
      <c r="O231" s="128">
        <f t="shared" ca="1" si="44"/>
        <v>119.19900000000008</v>
      </c>
      <c r="P231" s="128">
        <f t="shared" ca="1" si="44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43"/>
        <v>0</v>
      </c>
      <c r="C232" s="128">
        <v>0.3</v>
      </c>
      <c r="D232" s="128">
        <f t="shared" si="44"/>
        <v>0.3</v>
      </c>
      <c r="E232" s="128">
        <f t="shared" si="44"/>
        <v>0.3</v>
      </c>
      <c r="F232" s="128">
        <f t="shared" si="44"/>
        <v>0.3</v>
      </c>
      <c r="G232" s="128">
        <f t="shared" si="44"/>
        <v>0.3</v>
      </c>
      <c r="H232" s="128">
        <f t="shared" si="44"/>
        <v>0.3</v>
      </c>
      <c r="I232" s="128">
        <f t="shared" si="44"/>
        <v>0.3</v>
      </c>
      <c r="J232" s="128">
        <f t="shared" si="44"/>
        <v>0.3</v>
      </c>
      <c r="K232" s="128">
        <f t="shared" si="44"/>
        <v>0.3</v>
      </c>
      <c r="L232" s="128">
        <f t="shared" si="44"/>
        <v>0.3</v>
      </c>
      <c r="M232" s="128">
        <f t="shared" si="44"/>
        <v>0.3</v>
      </c>
      <c r="N232" s="128">
        <f t="shared" si="44"/>
        <v>0.3</v>
      </c>
      <c r="O232" s="128">
        <f t="shared" si="44"/>
        <v>0.3</v>
      </c>
      <c r="P232" s="128">
        <f t="shared" si="44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43"/>
        <v>0</v>
      </c>
      <c r="C233" s="128">
        <v>0.4</v>
      </c>
      <c r="D233" s="128">
        <f t="shared" si="44"/>
        <v>0.4</v>
      </c>
      <c r="E233" s="128">
        <f t="shared" si="44"/>
        <v>0.4</v>
      </c>
      <c r="F233" s="128">
        <f t="shared" si="44"/>
        <v>0.4</v>
      </c>
      <c r="G233" s="128">
        <f t="shared" si="44"/>
        <v>0.4</v>
      </c>
      <c r="H233" s="128">
        <f t="shared" si="44"/>
        <v>0.4</v>
      </c>
      <c r="I233" s="128">
        <f t="shared" si="44"/>
        <v>0.4</v>
      </c>
      <c r="J233" s="128">
        <f t="shared" si="44"/>
        <v>0.4</v>
      </c>
      <c r="K233" s="128">
        <f t="shared" si="44"/>
        <v>0.4</v>
      </c>
      <c r="L233" s="128">
        <f t="shared" si="44"/>
        <v>0.4</v>
      </c>
      <c r="M233" s="128">
        <f t="shared" si="44"/>
        <v>0.4</v>
      </c>
      <c r="N233" s="128">
        <f t="shared" si="44"/>
        <v>0.4</v>
      </c>
      <c r="O233" s="128">
        <f t="shared" si="44"/>
        <v>0.4</v>
      </c>
      <c r="P233" s="128">
        <f t="shared" si="44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43"/>
        <v>0</v>
      </c>
      <c r="C234" s="132">
        <v>0.64</v>
      </c>
      <c r="D234" s="132">
        <f t="shared" si="44"/>
        <v>0.64</v>
      </c>
      <c r="E234" s="132">
        <f t="shared" si="44"/>
        <v>0.64</v>
      </c>
      <c r="F234" s="132">
        <f t="shared" si="44"/>
        <v>0.64</v>
      </c>
      <c r="G234" s="132">
        <f t="shared" si="44"/>
        <v>0.64</v>
      </c>
      <c r="H234" s="132">
        <f t="shared" si="44"/>
        <v>0.64</v>
      </c>
      <c r="I234" s="132">
        <f t="shared" si="44"/>
        <v>0.64</v>
      </c>
      <c r="J234" s="132">
        <f t="shared" si="44"/>
        <v>0.64</v>
      </c>
      <c r="K234" s="132">
        <f t="shared" si="44"/>
        <v>0.64</v>
      </c>
      <c r="L234" s="132">
        <f t="shared" si="44"/>
        <v>0.64</v>
      </c>
      <c r="M234" s="132">
        <f t="shared" si="44"/>
        <v>0.64</v>
      </c>
      <c r="N234" s="132">
        <f t="shared" si="44"/>
        <v>0.64</v>
      </c>
      <c r="O234" s="132">
        <f t="shared" si="44"/>
        <v>0.64</v>
      </c>
      <c r="P234" s="132">
        <f t="shared" si="44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45">SUM(B229:B234)</f>
        <v>0</v>
      </c>
      <c r="C235" s="136">
        <f t="shared" si="45"/>
        <v>3.54</v>
      </c>
      <c r="D235" s="136">
        <f t="shared" si="45"/>
        <v>3.54</v>
      </c>
      <c r="E235" s="136">
        <f t="shared" si="45"/>
        <v>3.54</v>
      </c>
      <c r="F235" s="136">
        <f t="shared" si="45"/>
        <v>3.54</v>
      </c>
      <c r="G235" s="136">
        <f t="shared" si="45"/>
        <v>3.54</v>
      </c>
      <c r="H235" s="136">
        <f t="shared" si="45"/>
        <v>3.54</v>
      </c>
      <c r="I235" s="136">
        <f t="shared" ca="1" si="45"/>
        <v>121.23900000000009</v>
      </c>
      <c r="J235" s="136">
        <f t="shared" ca="1" si="45"/>
        <v>121.23900000000009</v>
      </c>
      <c r="K235" s="136">
        <f t="shared" ca="1" si="45"/>
        <v>121.23900000000009</v>
      </c>
      <c r="L235" s="136">
        <f t="shared" ca="1" si="45"/>
        <v>125.2590000000001</v>
      </c>
      <c r="M235" s="136">
        <f t="shared" ca="1" si="45"/>
        <v>121.23900000000009</v>
      </c>
      <c r="N235" s="136">
        <f t="shared" ca="1" si="45"/>
        <v>121.23900000000009</v>
      </c>
      <c r="O235" s="136">
        <f t="shared" ca="1" si="45"/>
        <v>121.23900000000009</v>
      </c>
      <c r="P235" s="136">
        <f t="shared" ca="1" si="45"/>
        <v>121.23900000000009</v>
      </c>
      <c r="Q235" s="136">
        <f t="shared" si="45"/>
        <v>0</v>
      </c>
      <c r="R235" s="136">
        <f t="shared" si="45"/>
        <v>0</v>
      </c>
      <c r="S235" s="136">
        <f t="shared" si="45"/>
        <v>0</v>
      </c>
      <c r="T235" s="136">
        <f t="shared" si="45"/>
        <v>0</v>
      </c>
      <c r="U235" s="136">
        <f t="shared" si="45"/>
        <v>0</v>
      </c>
      <c r="V235" s="136">
        <f t="shared" si="45"/>
        <v>0</v>
      </c>
      <c r="W235" s="136">
        <f t="shared" si="45"/>
        <v>0</v>
      </c>
      <c r="X235" s="136">
        <f t="shared" si="45"/>
        <v>0</v>
      </c>
      <c r="Y235" s="136">
        <f t="shared" si="45"/>
        <v>0</v>
      </c>
      <c r="Z235" s="136">
        <f t="shared" si="45"/>
        <v>0</v>
      </c>
      <c r="AA235" s="136">
        <f t="shared" si="45"/>
        <v>0</v>
      </c>
      <c r="AB235" s="136">
        <f t="shared" si="45"/>
        <v>0</v>
      </c>
      <c r="AC235" s="136">
        <f t="shared" si="45"/>
        <v>0</v>
      </c>
      <c r="AD235" s="136">
        <f t="shared" si="45"/>
        <v>0</v>
      </c>
      <c r="AE235" s="136">
        <f t="shared" si="45"/>
        <v>0</v>
      </c>
      <c r="AF235" s="136">
        <f t="shared" si="45"/>
        <v>0</v>
      </c>
      <c r="AG235" s="145">
        <f t="shared" si="45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2184.2399999999998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46">B91</f>
        <v>2094.14</v>
      </c>
      <c r="U249" s="170">
        <f t="shared" si="46"/>
        <v>2055.2399999999998</v>
      </c>
      <c r="V249" s="170">
        <f t="shared" si="46"/>
        <v>2068.9399999999996</v>
      </c>
      <c r="W249" s="170">
        <f t="shared" si="46"/>
        <v>2074.44</v>
      </c>
      <c r="X249" s="170">
        <f t="shared" si="46"/>
        <v>2053.14</v>
      </c>
      <c r="Y249" s="170">
        <f t="shared" si="46"/>
        <v>2046.2399999999998</v>
      </c>
      <c r="Z249" s="170">
        <f t="shared" si="46"/>
        <v>2074.6400000000003</v>
      </c>
      <c r="AA249" s="170">
        <f t="shared" si="46"/>
        <v>2082.84</v>
      </c>
      <c r="AB249" s="170">
        <f t="shared" si="46"/>
        <v>2100.84</v>
      </c>
      <c r="AC249" s="170">
        <f t="shared" si="46"/>
        <v>2129.7399999999998</v>
      </c>
      <c r="AD249" s="170">
        <f t="shared" si="46"/>
        <v>2184.2399999999998</v>
      </c>
      <c r="AE249" s="170">
        <f t="shared" si="46"/>
        <v>2184.2399999999998</v>
      </c>
      <c r="AF249" s="170">
        <f t="shared" si="46"/>
        <v>2144.7399999999998</v>
      </c>
      <c r="AG249" s="170">
        <f t="shared" si="46"/>
        <v>2175.2399999999998</v>
      </c>
      <c r="AH249" s="170">
        <f t="shared" si="46"/>
        <v>2175.2399999999998</v>
      </c>
      <c r="AI249" s="170">
        <f t="shared" si="46"/>
        <v>2175.2399999999998</v>
      </c>
      <c r="AJ249" s="170">
        <f t="shared" si="46"/>
        <v>2175.2399999999998</v>
      </c>
      <c r="AK249" s="170">
        <f t="shared" si="46"/>
        <v>2235.44</v>
      </c>
      <c r="AL249" s="170">
        <f t="shared" si="46"/>
        <v>2239.7399999999998</v>
      </c>
      <c r="AM249" s="170">
        <f t="shared" si="46"/>
        <v>2236.6400000000003</v>
      </c>
      <c r="AN249" s="170">
        <f t="shared" si="46"/>
        <v>2231.7400000000002</v>
      </c>
      <c r="AO249" s="170">
        <f t="shared" si="46"/>
        <v>2229.7400000000002</v>
      </c>
      <c r="AP249" s="170">
        <f t="shared" si="46"/>
        <v>2227.6400000000003</v>
      </c>
      <c r="AQ249" s="170">
        <f t="shared" si="46"/>
        <v>2237.6400000000003</v>
      </c>
      <c r="AR249" s="170">
        <f t="shared" si="46"/>
        <v>2276.7399999999998</v>
      </c>
      <c r="AS249" s="170">
        <f t="shared" si="46"/>
        <v>2278.94</v>
      </c>
      <c r="AT249" s="170">
        <f t="shared" si="46"/>
        <v>2228.8399999999997</v>
      </c>
      <c r="AU249" s="170">
        <f t="shared" si="46"/>
        <v>2216.84</v>
      </c>
      <c r="AV249" s="170">
        <f t="shared" si="46"/>
        <v>2193.7400000000002</v>
      </c>
      <c r="AW249" s="170">
        <f t="shared" si="46"/>
        <v>2131.54</v>
      </c>
      <c r="AX249" s="170">
        <f t="shared" si="46"/>
        <v>2064.54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47">C234</f>
        <v>0.64</v>
      </c>
      <c r="C270" s="173">
        <f t="shared" si="47"/>
        <v>0.64</v>
      </c>
      <c r="D270" s="173">
        <f t="shared" si="47"/>
        <v>0.64</v>
      </c>
      <c r="E270" s="173">
        <f t="shared" si="47"/>
        <v>0.64</v>
      </c>
      <c r="F270" s="173">
        <f t="shared" si="47"/>
        <v>0.64</v>
      </c>
      <c r="G270" s="173">
        <f t="shared" si="47"/>
        <v>0.64</v>
      </c>
      <c r="H270" s="173">
        <f t="shared" si="47"/>
        <v>0.64</v>
      </c>
      <c r="I270" s="173">
        <f t="shared" si="47"/>
        <v>0.64</v>
      </c>
      <c r="J270" s="173">
        <f t="shared" si="47"/>
        <v>0.64</v>
      </c>
      <c r="K270" s="173">
        <f t="shared" si="47"/>
        <v>0.64</v>
      </c>
      <c r="L270" s="173">
        <f t="shared" si="47"/>
        <v>0.64</v>
      </c>
      <c r="M270" s="173">
        <f t="shared" si="47"/>
        <v>0.64</v>
      </c>
      <c r="N270" s="173">
        <f t="shared" si="47"/>
        <v>0.64</v>
      </c>
      <c r="O270" s="173">
        <f t="shared" si="47"/>
        <v>0.64</v>
      </c>
      <c r="P270" s="173">
        <f t="shared" si="47"/>
        <v>0</v>
      </c>
      <c r="Q270" s="173">
        <f t="shared" si="47"/>
        <v>0</v>
      </c>
      <c r="R270" s="173">
        <f t="shared" si="47"/>
        <v>0</v>
      </c>
      <c r="S270" s="173">
        <f t="shared" si="47"/>
        <v>0</v>
      </c>
      <c r="T270" s="173">
        <f t="shared" si="47"/>
        <v>0</v>
      </c>
      <c r="U270" s="173">
        <f t="shared" si="47"/>
        <v>0</v>
      </c>
      <c r="V270" s="173">
        <f t="shared" si="47"/>
        <v>0</v>
      </c>
      <c r="W270" s="173">
        <f t="shared" si="47"/>
        <v>0</v>
      </c>
      <c r="X270" s="173">
        <f t="shared" si="47"/>
        <v>0</v>
      </c>
      <c r="Y270" s="173">
        <f t="shared" si="47"/>
        <v>0</v>
      </c>
      <c r="Z270" s="173">
        <f t="shared" si="47"/>
        <v>0</v>
      </c>
      <c r="AA270" s="173">
        <f t="shared" si="47"/>
        <v>0</v>
      </c>
      <c r="AB270" s="173">
        <f t="shared" si="47"/>
        <v>0</v>
      </c>
      <c r="AC270" s="173">
        <f t="shared" si="47"/>
        <v>0</v>
      </c>
      <c r="AD270" s="173">
        <f t="shared" si="47"/>
        <v>0</v>
      </c>
      <c r="AE270" s="173">
        <f t="shared" si="47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48">IF(B238&lt;100,"",B238-520)</f>
        <v/>
      </c>
      <c r="C271" s="174" t="str">
        <f t="shared" si="48"/>
        <v/>
      </c>
      <c r="D271" s="174" t="str">
        <f t="shared" si="48"/>
        <v/>
      </c>
      <c r="E271" s="174" t="str">
        <f t="shared" si="48"/>
        <v/>
      </c>
      <c r="F271" s="174" t="str">
        <f t="shared" si="48"/>
        <v/>
      </c>
      <c r="G271" s="174" t="str">
        <f t="shared" si="48"/>
        <v/>
      </c>
      <c r="H271" s="174" t="str">
        <f t="shared" si="48"/>
        <v/>
      </c>
      <c r="I271" s="174" t="str">
        <f t="shared" si="48"/>
        <v/>
      </c>
      <c r="J271" s="174" t="str">
        <f t="shared" si="48"/>
        <v/>
      </c>
      <c r="K271" s="174" t="str">
        <f t="shared" si="48"/>
        <v/>
      </c>
      <c r="L271" s="174" t="str">
        <f t="shared" si="48"/>
        <v/>
      </c>
      <c r="M271" s="174" t="str">
        <f t="shared" si="48"/>
        <v/>
      </c>
      <c r="N271" s="174" t="str">
        <f t="shared" si="48"/>
        <v/>
      </c>
      <c r="O271" s="174" t="str">
        <f t="shared" si="48"/>
        <v/>
      </c>
      <c r="P271" s="174" t="str">
        <f t="shared" si="48"/>
        <v/>
      </c>
      <c r="Q271" s="174" t="str">
        <f t="shared" si="48"/>
        <v/>
      </c>
      <c r="R271" s="174" t="str">
        <f t="shared" si="48"/>
        <v/>
      </c>
      <c r="S271" s="174" t="str">
        <f t="shared" si="48"/>
        <v/>
      </c>
      <c r="T271" s="174" t="str">
        <f t="shared" si="48"/>
        <v/>
      </c>
      <c r="U271" s="174" t="str">
        <f t="shared" si="48"/>
        <v/>
      </c>
      <c r="V271" s="174" t="str">
        <f t="shared" si="48"/>
        <v/>
      </c>
      <c r="W271" s="174" t="str">
        <f t="shared" si="48"/>
        <v/>
      </c>
      <c r="X271" s="174" t="str">
        <f t="shared" si="48"/>
        <v/>
      </c>
      <c r="Y271" s="174" t="str">
        <f t="shared" si="48"/>
        <v/>
      </c>
      <c r="Z271" s="174" t="str">
        <f t="shared" si="48"/>
        <v/>
      </c>
      <c r="AA271" s="174" t="str">
        <f t="shared" si="48"/>
        <v/>
      </c>
      <c r="AB271" s="174" t="str">
        <f t="shared" si="48"/>
        <v/>
      </c>
      <c r="AC271" s="174" t="str">
        <f t="shared" si="48"/>
        <v/>
      </c>
      <c r="AD271" s="174" t="str">
        <f t="shared" si="48"/>
        <v/>
      </c>
      <c r="AE271" s="174" t="str">
        <f t="shared" si="48"/>
        <v/>
      </c>
      <c r="AF271" s="174" t="str">
        <f t="shared" si="48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49">IF(B239&lt;100,"",B239-620)</f>
        <v/>
      </c>
      <c r="C272" s="174" t="str">
        <f t="shared" si="49"/>
        <v/>
      </c>
      <c r="D272" s="174" t="str">
        <f t="shared" si="49"/>
        <v/>
      </c>
      <c r="E272" s="174" t="str">
        <f t="shared" si="49"/>
        <v/>
      </c>
      <c r="F272" s="174" t="str">
        <f t="shared" si="49"/>
        <v/>
      </c>
      <c r="G272" s="174" t="str">
        <f t="shared" si="49"/>
        <v/>
      </c>
      <c r="H272" s="174" t="str">
        <f t="shared" si="49"/>
        <v/>
      </c>
      <c r="I272" s="174" t="str">
        <f t="shared" si="49"/>
        <v/>
      </c>
      <c r="J272" s="174" t="str">
        <f t="shared" si="49"/>
        <v/>
      </c>
      <c r="K272" s="174" t="str">
        <f t="shared" si="49"/>
        <v/>
      </c>
      <c r="L272" s="174" t="str">
        <f t="shared" si="49"/>
        <v/>
      </c>
      <c r="M272" s="174" t="str">
        <f t="shared" si="49"/>
        <v/>
      </c>
      <c r="N272" s="174" t="str">
        <f t="shared" si="49"/>
        <v/>
      </c>
      <c r="O272" s="174" t="str">
        <f t="shared" si="49"/>
        <v/>
      </c>
      <c r="P272" s="174" t="str">
        <f t="shared" si="49"/>
        <v/>
      </c>
      <c r="Q272" s="174" t="str">
        <f t="shared" si="49"/>
        <v/>
      </c>
      <c r="R272" s="174" t="str">
        <f t="shared" si="49"/>
        <v/>
      </c>
      <c r="S272" s="174" t="str">
        <f t="shared" si="49"/>
        <v/>
      </c>
      <c r="T272" s="174" t="str">
        <f t="shared" si="49"/>
        <v/>
      </c>
      <c r="U272" s="174" t="str">
        <f t="shared" si="49"/>
        <v/>
      </c>
      <c r="V272" s="174" t="str">
        <f t="shared" si="49"/>
        <v/>
      </c>
      <c r="W272" s="174" t="str">
        <f t="shared" si="49"/>
        <v/>
      </c>
      <c r="X272" s="174" t="str">
        <f t="shared" si="49"/>
        <v/>
      </c>
      <c r="Y272" s="174" t="str">
        <f t="shared" si="49"/>
        <v/>
      </c>
      <c r="Z272" s="174" t="str">
        <f t="shared" si="49"/>
        <v/>
      </c>
      <c r="AA272" s="174" t="str">
        <f t="shared" si="49"/>
        <v/>
      </c>
      <c r="AB272" s="174" t="str">
        <f t="shared" si="49"/>
        <v/>
      </c>
      <c r="AC272" s="174" t="str">
        <f t="shared" si="49"/>
        <v/>
      </c>
      <c r="AD272" s="174" t="str">
        <f t="shared" si="49"/>
        <v/>
      </c>
      <c r="AE272" s="174" t="str">
        <f t="shared" si="49"/>
        <v/>
      </c>
      <c r="AF272" s="174" t="str">
        <f t="shared" si="49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50">IF(B240&lt;100,"",B240-330)</f>
        <v/>
      </c>
      <c r="C273" s="174" t="str">
        <f t="shared" si="50"/>
        <v/>
      </c>
      <c r="D273" s="174" t="str">
        <f t="shared" si="50"/>
        <v/>
      </c>
      <c r="E273" s="174" t="str">
        <f t="shared" si="50"/>
        <v/>
      </c>
      <c r="F273" s="174" t="str">
        <f t="shared" si="50"/>
        <v/>
      </c>
      <c r="G273" s="174" t="str">
        <f t="shared" si="50"/>
        <v/>
      </c>
      <c r="H273" s="174" t="str">
        <f t="shared" si="50"/>
        <v/>
      </c>
      <c r="I273" s="174" t="str">
        <f t="shared" si="50"/>
        <v/>
      </c>
      <c r="J273" s="174" t="str">
        <f t="shared" si="50"/>
        <v/>
      </c>
      <c r="K273" s="174" t="str">
        <f t="shared" si="50"/>
        <v/>
      </c>
      <c r="L273" s="174" t="str">
        <f t="shared" si="50"/>
        <v/>
      </c>
      <c r="M273" s="174" t="str">
        <f t="shared" si="50"/>
        <v/>
      </c>
      <c r="N273" s="174" t="str">
        <f t="shared" si="50"/>
        <v/>
      </c>
      <c r="O273" s="174" t="str">
        <f t="shared" si="50"/>
        <v/>
      </c>
      <c r="P273" s="174" t="str">
        <f t="shared" si="50"/>
        <v/>
      </c>
      <c r="Q273" s="174" t="str">
        <f t="shared" si="50"/>
        <v/>
      </c>
      <c r="R273" s="174" t="str">
        <f t="shared" si="50"/>
        <v/>
      </c>
      <c r="S273" s="174" t="str">
        <f t="shared" si="50"/>
        <v/>
      </c>
      <c r="T273" s="174" t="str">
        <f t="shared" si="50"/>
        <v/>
      </c>
      <c r="U273" s="174" t="str">
        <f t="shared" si="50"/>
        <v/>
      </c>
      <c r="V273" s="174" t="str">
        <f t="shared" si="50"/>
        <v/>
      </c>
      <c r="W273" s="174" t="str">
        <f t="shared" si="50"/>
        <v/>
      </c>
      <c r="X273" s="174" t="str">
        <f t="shared" si="50"/>
        <v/>
      </c>
      <c r="Y273" s="174" t="str">
        <f t="shared" si="50"/>
        <v/>
      </c>
      <c r="Z273" s="174" t="str">
        <f t="shared" si="50"/>
        <v/>
      </c>
      <c r="AA273" s="174" t="str">
        <f t="shared" si="50"/>
        <v/>
      </c>
      <c r="AB273" s="174" t="str">
        <f t="shared" si="50"/>
        <v/>
      </c>
      <c r="AC273" s="174" t="str">
        <f t="shared" si="50"/>
        <v/>
      </c>
      <c r="AD273" s="174" t="str">
        <f t="shared" si="50"/>
        <v/>
      </c>
      <c r="AE273" s="174" t="str">
        <f t="shared" si="50"/>
        <v/>
      </c>
      <c r="AF273" s="174" t="str">
        <f t="shared" si="50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51">IF(B241&lt;100,"",B241-1500)</f>
        <v/>
      </c>
      <c r="C274" s="174" t="str">
        <f t="shared" si="51"/>
        <v/>
      </c>
      <c r="D274" s="174" t="str">
        <f t="shared" si="51"/>
        <v/>
      </c>
      <c r="E274" s="174" t="str">
        <f t="shared" si="51"/>
        <v/>
      </c>
      <c r="F274" s="174" t="str">
        <f t="shared" si="51"/>
        <v/>
      </c>
      <c r="G274" s="174" t="str">
        <f t="shared" si="51"/>
        <v/>
      </c>
      <c r="H274" s="174" t="str">
        <f t="shared" si="51"/>
        <v/>
      </c>
      <c r="I274" s="174" t="str">
        <f t="shared" si="51"/>
        <v/>
      </c>
      <c r="J274" s="174" t="str">
        <f t="shared" si="51"/>
        <v/>
      </c>
      <c r="K274" s="174" t="str">
        <f t="shared" si="51"/>
        <v/>
      </c>
      <c r="L274" s="174" t="str">
        <f t="shared" si="51"/>
        <v/>
      </c>
      <c r="M274" s="174" t="str">
        <f t="shared" si="51"/>
        <v/>
      </c>
      <c r="N274" s="174" t="str">
        <f t="shared" si="51"/>
        <v/>
      </c>
      <c r="O274" s="174" t="str">
        <f t="shared" si="51"/>
        <v/>
      </c>
      <c r="P274" s="174" t="str">
        <f t="shared" si="51"/>
        <v/>
      </c>
      <c r="Q274" s="174" t="str">
        <f t="shared" si="51"/>
        <v/>
      </c>
      <c r="R274" s="174" t="str">
        <f t="shared" si="51"/>
        <v/>
      </c>
      <c r="S274" s="174" t="str">
        <f t="shared" si="51"/>
        <v/>
      </c>
      <c r="T274" s="174" t="str">
        <f t="shared" si="51"/>
        <v/>
      </c>
      <c r="U274" s="174" t="str">
        <f t="shared" si="51"/>
        <v/>
      </c>
      <c r="V274" s="174" t="str">
        <f t="shared" si="51"/>
        <v/>
      </c>
      <c r="W274" s="174" t="str">
        <f t="shared" si="51"/>
        <v/>
      </c>
      <c r="X274" s="174" t="str">
        <f t="shared" si="51"/>
        <v/>
      </c>
      <c r="Y274" s="174" t="str">
        <f t="shared" si="51"/>
        <v/>
      </c>
      <c r="Z274" s="174" t="str">
        <f t="shared" si="51"/>
        <v/>
      </c>
      <c r="AA274" s="174" t="str">
        <f t="shared" si="51"/>
        <v/>
      </c>
      <c r="AB274" s="174" t="str">
        <f t="shared" si="51"/>
        <v/>
      </c>
      <c r="AC274" s="174" t="str">
        <f t="shared" si="51"/>
        <v/>
      </c>
      <c r="AD274" s="174" t="str">
        <f t="shared" si="51"/>
        <v/>
      </c>
      <c r="AE274" s="174" t="str">
        <f t="shared" si="51"/>
        <v/>
      </c>
      <c r="AF274" s="174" t="str">
        <f t="shared" si="51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875" priority="119">
      <formula>$AH11=0</formula>
    </cfRule>
  </conditionalFormatting>
  <conditionalFormatting sqref="B8 M8 S8 AB8">
    <cfRule type="expression" dxfId="874" priority="170">
      <formula>AND(C$9&gt;=14/24,C$9&lt;20/24)</formula>
    </cfRule>
    <cfRule type="expression" dxfId="873" priority="171">
      <formula>AND(C$9&gt;=8/24,C$9&lt;14/24)</formula>
    </cfRule>
    <cfRule type="expression" dxfId="872" priority="172">
      <formula>C$9&lt;8/24</formula>
    </cfRule>
  </conditionalFormatting>
  <conditionalFormatting sqref="C54:D54">
    <cfRule type="expression" dxfId="871" priority="93">
      <formula>C$9&gt;=20/24</formula>
    </cfRule>
    <cfRule type="expression" dxfId="870" priority="94">
      <formula>AND(C$9&gt;=14/24,C$9&lt;20/24)</formula>
    </cfRule>
    <cfRule type="expression" dxfId="869" priority="95">
      <formula>AND(C$9&gt;=8/24,C$9&lt;14/24)</formula>
    </cfRule>
    <cfRule type="expression" dxfId="868" priority="96">
      <formula>C$9&lt;8/24</formula>
    </cfRule>
  </conditionalFormatting>
  <conditionalFormatting sqref="C54:D66 E59:R66 S59:Y59 S61:Y66">
    <cfRule type="expression" dxfId="867" priority="88">
      <formula>C54&gt;$AG54</formula>
    </cfRule>
  </conditionalFormatting>
  <conditionalFormatting sqref="C55:D59 E59:Y59">
    <cfRule type="expression" dxfId="866" priority="115">
      <formula>C$9&gt;=20/24</formula>
    </cfRule>
    <cfRule type="expression" dxfId="865" priority="116">
      <formula>AND(C$9&gt;=14/24,C$9&lt;20/24)</formula>
    </cfRule>
    <cfRule type="expression" dxfId="864" priority="117">
      <formula>AND(C$9&gt;=8/24,C$9&lt;14/24)</formula>
    </cfRule>
    <cfRule type="expression" dxfId="863" priority="118">
      <formula>C$9&lt;8/24</formula>
    </cfRule>
  </conditionalFormatting>
  <conditionalFormatting sqref="C60:R60">
    <cfRule type="expression" dxfId="862" priority="106">
      <formula>C$9&gt;=20/24</formula>
    </cfRule>
    <cfRule type="expression" dxfId="861" priority="107">
      <formula>AND(C$9&gt;=14/24,C$9&lt;20/24)</formula>
    </cfRule>
    <cfRule type="expression" dxfId="860" priority="108">
      <formula>AND(C$9&gt;=8/24,C$9&lt;14/24)</formula>
    </cfRule>
    <cfRule type="expression" dxfId="859" priority="109">
      <formula>C$9&lt;8/24</formula>
    </cfRule>
  </conditionalFormatting>
  <conditionalFormatting sqref="C61:AF66">
    <cfRule type="expression" dxfId="858" priority="89">
      <formula>C$9&gt;=20/24</formula>
    </cfRule>
    <cfRule type="expression" dxfId="857" priority="90">
      <formula>AND(C$9&gt;=14/24,C$9&lt;20/24)</formula>
    </cfRule>
    <cfRule type="expression" dxfId="856" priority="91">
      <formula>AND(C$9&gt;=8/24,C$9&lt;14/24)</formula>
    </cfRule>
    <cfRule type="expression" dxfId="855" priority="92">
      <formula>C$9&lt;8/24</formula>
    </cfRule>
  </conditionalFormatting>
  <conditionalFormatting sqref="B9:AF10 K11:L12 L13:L17 Z33:AF34 M11:AF17 L20:AF23">
    <cfRule type="expression" dxfId="854" priority="78">
      <formula>B$9&gt;=20/24</formula>
    </cfRule>
    <cfRule type="expression" dxfId="853" priority="79">
      <formula>AND(B$9&gt;=14/24,B$9&lt;20/24)</formula>
    </cfRule>
    <cfRule type="expression" dxfId="852" priority="80">
      <formula>AND(B$9&gt;=8/24,B$9&lt;14/24)</formula>
    </cfRule>
    <cfRule type="expression" dxfId="851" priority="81">
      <formula>B$9&lt;8/24</formula>
    </cfRule>
  </conditionalFormatting>
  <conditionalFormatting sqref="K11:L12 L13:L17 Z33:AF34 M11:AF17 L20:AF23">
    <cfRule type="expression" dxfId="850" priority="77">
      <formula>K11&gt;$AG11</formula>
    </cfRule>
  </conditionalFormatting>
  <conditionalFormatting sqref="E49:AF49">
    <cfRule type="expression" dxfId="849" priority="83">
      <formula>E$9&gt;=20/24</formula>
    </cfRule>
    <cfRule type="expression" dxfId="848" priority="84">
      <formula>AND(E$9&gt;=14/24,E$9&lt;20/24)</formula>
    </cfRule>
    <cfRule type="expression" dxfId="847" priority="85">
      <formula>AND(E$9&gt;=8/24,E$9&lt;14/24)</formula>
    </cfRule>
    <cfRule type="expression" dxfId="846" priority="86">
      <formula>E$9&lt;8/24</formula>
    </cfRule>
  </conditionalFormatting>
  <conditionalFormatting sqref="E49:AF49 C50:AF53">
    <cfRule type="expression" dxfId="845" priority="82">
      <formula>C49&gt;$AG49</formula>
    </cfRule>
  </conditionalFormatting>
  <conditionalFormatting sqref="C51:AF53">
    <cfRule type="expression" dxfId="844" priority="102">
      <formula>C$9&gt;=20/24</formula>
    </cfRule>
    <cfRule type="expression" dxfId="843" priority="103">
      <formula>AND(C$9&gt;=14/24,C$9&lt;20/24)</formula>
    </cfRule>
    <cfRule type="expression" dxfId="842" priority="104">
      <formula>AND(C$9&gt;=8/24,C$9&lt;14/24)</formula>
    </cfRule>
    <cfRule type="expression" dxfId="841" priority="105">
      <formula>C$9&lt;8/24</formula>
    </cfRule>
  </conditionalFormatting>
  <conditionalFormatting sqref="C69:AF71">
    <cfRule type="expression" dxfId="840" priority="110">
      <formula>C69&gt;$AG69</formula>
    </cfRule>
    <cfRule type="expression" dxfId="839" priority="111">
      <formula>C$9&gt;=20/24</formula>
    </cfRule>
    <cfRule type="expression" dxfId="838" priority="112">
      <formula>AND(C$9&gt;=14/24,C$9&lt;20/24)</formula>
    </cfRule>
    <cfRule type="expression" dxfId="837" priority="113">
      <formula>AND(C$9&gt;=8/24,C$9&lt;14/24)</formula>
    </cfRule>
    <cfRule type="expression" dxfId="836" priority="114">
      <formula>C$9&lt;8/24</formula>
    </cfRule>
  </conditionalFormatting>
  <conditionalFormatting sqref="C73:AF91">
    <cfRule type="expression" dxfId="835" priority="56">
      <formula>C$9&gt;=20/24</formula>
    </cfRule>
    <cfRule type="expression" dxfId="834" priority="57">
      <formula>AND(C$9&gt;=14/24,C$9&lt;20/24)</formula>
    </cfRule>
    <cfRule type="expression" dxfId="833" priority="58">
      <formula>AND(C$9&gt;=8/24,C$9&lt;14/24)</formula>
    </cfRule>
    <cfRule type="expression" dxfId="832" priority="59">
      <formula>C$9&lt;8/24</formula>
    </cfRule>
  </conditionalFormatting>
  <conditionalFormatting sqref="C111:AF120">
    <cfRule type="expression" dxfId="831" priority="69">
      <formula>C$9&gt;=20/24</formula>
    </cfRule>
    <cfRule type="expression" dxfId="830" priority="70">
      <formula>AND(C$9&gt;=14/24,C$9&lt;20/24)</formula>
    </cfRule>
    <cfRule type="expression" dxfId="829" priority="71">
      <formula>AND(C$9&gt;=8/24,C$9&lt;14/24)</formula>
    </cfRule>
    <cfRule type="expression" dxfId="828" priority="72">
      <formula>C$9&lt;8/24</formula>
    </cfRule>
  </conditionalFormatting>
  <conditionalFormatting sqref="B227:AF227 D229:AF230 B229:B235 D231:H231 J231:AF231 D232:AF235 U248:AF248">
    <cfRule type="expression" dxfId="827" priority="163">
      <formula>B$9&gt;=20/24</formula>
    </cfRule>
    <cfRule type="expression" dxfId="826" priority="164">
      <formula>AND(B$9&gt;=14/24,B$9&lt;20/24)</formula>
    </cfRule>
    <cfRule type="expression" dxfId="825" priority="165">
      <formula>AND(B$9&gt;=8/24,B$9&lt;14/24)</formula>
    </cfRule>
    <cfRule type="expression" dxfId="824" priority="166">
      <formula>B$9&lt;8/24</formula>
    </cfRule>
  </conditionalFormatting>
  <conditionalFormatting sqref="C72:AG72 C67:AG68">
    <cfRule type="expression" dxfId="823" priority="97">
      <formula>C67&gt;$AG67</formula>
    </cfRule>
  </conditionalFormatting>
  <conditionalFormatting sqref="C72:AG72 C93:AF109">
    <cfRule type="expression" dxfId="822" priority="98">
      <formula>C$9&gt;=20/24</formula>
    </cfRule>
    <cfRule type="expression" dxfId="821" priority="99">
      <formula>AND(C$9&gt;=14/24,C$9&lt;20/24)</formula>
    </cfRule>
    <cfRule type="expression" dxfId="820" priority="100">
      <formula>AND(C$9&gt;=8/24,C$9&lt;14/24)</formula>
    </cfRule>
    <cfRule type="expression" dxfId="819" priority="101">
      <formula>C$9&lt;8/24</formula>
    </cfRule>
  </conditionalFormatting>
  <conditionalFormatting sqref="E55:Y58 S60:Y66 Z55:AF66">
    <cfRule type="expression" dxfId="818" priority="60">
      <formula>E55&gt;$AG55</formula>
    </cfRule>
  </conditionalFormatting>
  <conditionalFormatting sqref="E54:AG54">
    <cfRule type="expression" dxfId="817" priority="131">
      <formula>E54&gt;$AG54</formula>
    </cfRule>
    <cfRule type="expression" dxfId="816" priority="132">
      <formula>E$9&gt;=20/24</formula>
    </cfRule>
    <cfRule type="expression" dxfId="815" priority="133">
      <formula>AND(E$9&gt;=14/24,E$9&lt;20/24)</formula>
    </cfRule>
    <cfRule type="expression" dxfId="814" priority="134">
      <formula>AND(E$9&gt;=8/24,E$9&lt;14/24)</formula>
    </cfRule>
    <cfRule type="expression" dxfId="813" priority="135">
      <formula>E$9&lt;8/24</formula>
    </cfRule>
  </conditionalFormatting>
  <conditionalFormatting sqref="E55:R57 S55:Y55">
    <cfRule type="expression" dxfId="812" priority="144">
      <formula>E$9&gt;=20/24</formula>
    </cfRule>
    <cfRule type="expression" dxfId="811" priority="145">
      <formula>AND(E$9&gt;=14/24,E$9&lt;20/24)</formula>
    </cfRule>
    <cfRule type="expression" dxfId="810" priority="146">
      <formula>AND(E$9&gt;=8/24,E$9&lt;14/24)</formula>
    </cfRule>
    <cfRule type="expression" dxfId="809" priority="147">
      <formula>E$9&lt;8/24</formula>
    </cfRule>
  </conditionalFormatting>
  <conditionalFormatting sqref="O3:P3">
    <cfRule type="iconSet" priority="167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808" priority="169">
      <formula>C$9&gt;=20/24</formula>
    </cfRule>
  </conditionalFormatting>
  <conditionalFormatting sqref="S8">
    <cfRule type="expression" dxfId="807" priority="156">
      <formula>U$9&gt;=20/24</formula>
    </cfRule>
    <cfRule type="expression" dxfId="806" priority="157">
      <formula>AND(U$9&gt;=14/24,U$9&lt;20/24)</formula>
    </cfRule>
    <cfRule type="expression" dxfId="805" priority="158">
      <formula>AND(U$9&gt;=8/24,U$9&lt;14/24)</formula>
    </cfRule>
    <cfRule type="expression" dxfId="804" priority="159">
      <formula>U$9&lt;8/24</formula>
    </cfRule>
  </conditionalFormatting>
  <conditionalFormatting sqref="S55:Y58 S60:Y60 Z55:AF60">
    <cfRule type="expression" dxfId="803" priority="65">
      <formula>S$9&gt;=20/24</formula>
    </cfRule>
    <cfRule type="expression" dxfId="802" priority="66">
      <formula>AND(S$9&gt;=14/24,S$9&lt;20/24)</formula>
    </cfRule>
    <cfRule type="expression" dxfId="801" priority="67">
      <formula>AND(S$9&gt;=8/24,S$9&lt;14/24)</formula>
    </cfRule>
    <cfRule type="expression" dxfId="800" priority="68">
      <formula>S$9&lt;8/24</formula>
    </cfRule>
  </conditionalFormatting>
  <conditionalFormatting sqref="T248">
    <cfRule type="expression" dxfId="799" priority="181">
      <formula>AX$9&gt;=20/24</formula>
    </cfRule>
    <cfRule type="expression" dxfId="798" priority="182">
      <formula>AND(AX$9&gt;=14/24,AX$9&lt;20/24)</formula>
    </cfRule>
    <cfRule type="expression" dxfId="797" priority="183">
      <formula>AND(AX$9&gt;=8/24,AX$9&lt;14/24)</formula>
    </cfRule>
    <cfRule type="expression" dxfId="796" priority="184">
      <formula>AX$9&lt;8/24</formula>
    </cfRule>
  </conditionalFormatting>
  <conditionalFormatting sqref="V3 AB3">
    <cfRule type="iconSet" priority="168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795" priority="152">
      <formula>AD$9&gt;=20/24</formula>
    </cfRule>
    <cfRule type="expression" dxfId="794" priority="153">
      <formula>AND(AD$9&gt;=14/24,AD$9&lt;20/24)</formula>
    </cfRule>
    <cfRule type="expression" dxfId="793" priority="154">
      <formula>AND(AD$9&gt;=8/24,AD$9&lt;14/24)</formula>
    </cfRule>
    <cfRule type="expression" dxfId="792" priority="155">
      <formula>AD$9&lt;8/24</formula>
    </cfRule>
  </conditionalFormatting>
  <conditionalFormatting sqref="AE61:AF66">
    <cfRule type="expression" dxfId="791" priority="61">
      <formula>AE$9&gt;=20/24</formula>
    </cfRule>
    <cfRule type="expression" dxfId="790" priority="62">
      <formula>AND(AE$9&gt;=14/24,AE$9&lt;20/24)</formula>
    </cfRule>
    <cfRule type="expression" dxfId="789" priority="63">
      <formula>AND(AE$9&gt;=8/24,AE$9&lt;14/24)</formula>
    </cfRule>
    <cfRule type="expression" dxfId="788" priority="64">
      <formula>AE$9&lt;8/24</formula>
    </cfRule>
  </conditionalFormatting>
  <conditionalFormatting sqref="AG50">
    <cfRule type="expression" dxfId="787" priority="139">
      <formula>AG50&gt;$AG50</formula>
    </cfRule>
  </conditionalFormatting>
  <conditionalFormatting sqref="AG89">
    <cfRule type="expression" dxfId="786" priority="140">
      <formula>AG$9&gt;=20/24</formula>
    </cfRule>
    <cfRule type="expression" dxfId="785" priority="141">
      <formula>AND(AG$9&gt;=14/24,AG$9&lt;20/24)</formula>
    </cfRule>
    <cfRule type="expression" dxfId="784" priority="142">
      <formula>AND(AG$9&gt;=8/24,AG$9&lt;14/24)</formula>
    </cfRule>
    <cfRule type="expression" dxfId="783" priority="143">
      <formula>AG$9&lt;8/24</formula>
    </cfRule>
  </conditionalFormatting>
  <conditionalFormatting sqref="AG248">
    <cfRule type="expression" dxfId="782" priority="173">
      <formula>B$9&gt;=20/24</formula>
    </cfRule>
    <cfRule type="expression" dxfId="781" priority="174">
      <formula>AND(B$9&gt;=14/24,B$9&lt;20/24)</formula>
    </cfRule>
    <cfRule type="expression" dxfId="780" priority="175">
      <formula>AND(B$9&gt;=8/24,B$9&lt;14/24)</formula>
    </cfRule>
    <cfRule type="expression" dxfId="779" priority="176">
      <formula>B$9&lt;8/24</formula>
    </cfRule>
  </conditionalFormatting>
  <conditionalFormatting sqref="AH248:AX248">
    <cfRule type="expression" dxfId="778" priority="177">
      <formula>AG$9&gt;=20/24</formula>
    </cfRule>
    <cfRule type="expression" dxfId="777" priority="178">
      <formula>AND(AG$9&gt;=14/24,AG$9&lt;20/24)</formula>
    </cfRule>
    <cfRule type="expression" dxfId="776" priority="179">
      <formula>AND(AG$9&gt;=8/24,AG$9&lt;14/24)</formula>
    </cfRule>
    <cfRule type="expression" dxfId="775" priority="180">
      <formula>AG$9&lt;8/24</formula>
    </cfRule>
  </conditionalFormatting>
  <conditionalFormatting sqref="AL4:AL6">
    <cfRule type="iconSet" priority="162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22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7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21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6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61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60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20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5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774" priority="186">
      <formula>AJ$9&gt;=20/24</formula>
    </cfRule>
    <cfRule type="expression" dxfId="773" priority="187">
      <formula>AND(AJ$9&gt;=14/24,AJ$9&lt;20/24)</formula>
    </cfRule>
    <cfRule type="expression" dxfId="772" priority="188">
      <formula>AND(AJ$9&gt;=8/24,AJ$9&lt;14/24)</formula>
    </cfRule>
    <cfRule type="expression" dxfId="771" priority="189">
      <formula>AJ$9&lt;8/24</formula>
    </cfRule>
  </conditionalFormatting>
  <conditionalFormatting sqref="AL80:AN80 AL86:AN86">
    <cfRule type="expression" dxfId="770" priority="127">
      <formula>AL$9&gt;=20/24</formula>
    </cfRule>
    <cfRule type="expression" dxfId="769" priority="128">
      <formula>AND(AL$9&gt;=14/24,AL$9&lt;20/24)</formula>
    </cfRule>
    <cfRule type="expression" dxfId="768" priority="129">
      <formula>AND(AL$9&gt;=8/24,AL$9&lt;14/24)</formula>
    </cfRule>
    <cfRule type="expression" dxfId="767" priority="130">
      <formula>AL$9&lt;8/24</formula>
    </cfRule>
  </conditionalFormatting>
  <conditionalFormatting sqref="AN81:AN84">
    <cfRule type="expression" dxfId="766" priority="123">
      <formula>AN$9&gt;=20/24</formula>
    </cfRule>
    <cfRule type="expression" dxfId="765" priority="124">
      <formula>AND(AN$9&gt;=14/24,AN$9&lt;20/24)</formula>
    </cfRule>
    <cfRule type="expression" dxfId="764" priority="125">
      <formula>AND(AN$9&gt;=8/24,AN$9&lt;14/24)</formula>
    </cfRule>
    <cfRule type="expression" dxfId="763" priority="126">
      <formula>AN$9&lt;8/24</formula>
    </cfRule>
  </conditionalFormatting>
  <conditionalFormatting sqref="B55:B60">
    <cfRule type="expression" dxfId="762" priority="42">
      <formula>B$9&gt;=20/24</formula>
    </cfRule>
    <cfRule type="expression" dxfId="761" priority="43">
      <formula>AND(B$9&gt;=14/24,B$9&lt;20/24)</formula>
    </cfRule>
    <cfRule type="expression" dxfId="760" priority="44">
      <formula>AND(B$9&gt;=8/24,B$9&lt;14/24)</formula>
    </cfRule>
    <cfRule type="expression" dxfId="759" priority="45">
      <formula>B$9&lt;8/24</formula>
    </cfRule>
  </conditionalFormatting>
  <conditionalFormatting sqref="B61:B66">
    <cfRule type="expression" dxfId="758" priority="29">
      <formula>B$9&gt;=20/24</formula>
    </cfRule>
    <cfRule type="expression" dxfId="757" priority="30">
      <formula>AND(B$9&gt;=14/24,B$9&lt;20/24)</formula>
    </cfRule>
    <cfRule type="expression" dxfId="756" priority="31">
      <formula>AND(B$9&gt;=8/24,B$9&lt;14/24)</formula>
    </cfRule>
    <cfRule type="expression" dxfId="755" priority="32">
      <formula>B$9&lt;8/24</formula>
    </cfRule>
  </conditionalFormatting>
  <conditionalFormatting sqref="B11:J45 K13:K45 L24:Y45 L18:AF19 Z24:AF32 Z35:AF45">
    <cfRule type="expression" dxfId="754" priority="19">
      <formula>B$9&gt;=20/24</formula>
    </cfRule>
    <cfRule type="expression" dxfId="753" priority="20">
      <formula>AND(B$9&gt;=14/24,B$9&lt;20/24)</formula>
    </cfRule>
    <cfRule type="expression" dxfId="752" priority="21">
      <formula>AND(B$9&gt;=8/24,B$9&lt;14/24)</formula>
    </cfRule>
    <cfRule type="expression" dxfId="751" priority="22">
      <formula>B$9&lt;8/24</formula>
    </cfRule>
  </conditionalFormatting>
  <conditionalFormatting sqref="B11:J46 K13:K46 L24:Y46 L18:AF19 Z24:AF32 Z35:AF46">
    <cfRule type="expression" dxfId="750" priority="18">
      <formula>B11&gt;$AG11</formula>
    </cfRule>
  </conditionalFormatting>
  <conditionalFormatting sqref="B46:AF46">
    <cfRule type="expression" dxfId="749" priority="14">
      <formula>B$9&gt;=20/24</formula>
    </cfRule>
    <cfRule type="expression" dxfId="748" priority="15">
      <formula>AND(B$9&gt;=14/24,B$9&lt;20/24)</formula>
    </cfRule>
    <cfRule type="expression" dxfId="747" priority="16">
      <formula>AND(B$9&gt;=8/24,B$9&lt;14/24)</formula>
    </cfRule>
    <cfRule type="expression" dxfId="746" priority="17">
      <formula>B$9&lt;8/24</formula>
    </cfRule>
  </conditionalFormatting>
  <conditionalFormatting sqref="B47:AF47">
    <cfRule type="expression" dxfId="745" priority="28">
      <formula>B47&gt;$AG47</formula>
    </cfRule>
  </conditionalFormatting>
  <conditionalFormatting sqref="B47:D49 E47:AF48">
    <cfRule type="expression" dxfId="744" priority="24">
      <formula>B$9&gt;=20/24</formula>
    </cfRule>
    <cfRule type="expression" dxfId="743" priority="25">
      <formula>AND(B$9&gt;=14/24,B$9&lt;20/24)</formula>
    </cfRule>
    <cfRule type="expression" dxfId="742" priority="26">
      <formula>AND(B$9&gt;=8/24,B$9&lt;14/24)</formula>
    </cfRule>
    <cfRule type="expression" dxfId="741" priority="27">
      <formula>B$9&lt;8/24</formula>
    </cfRule>
  </conditionalFormatting>
  <conditionalFormatting sqref="B48:B53 C48:D49 E48:AF48">
    <cfRule type="expression" dxfId="740" priority="23">
      <formula>B48&gt;$AG48</formula>
    </cfRule>
  </conditionalFormatting>
  <conditionalFormatting sqref="B51:B53">
    <cfRule type="expression" dxfId="739" priority="38">
      <formula>B$9&gt;=20/24</formula>
    </cfRule>
    <cfRule type="expression" dxfId="738" priority="39">
      <formula>AND(B$9&gt;=14/24,B$9&lt;20/24)</formula>
    </cfRule>
    <cfRule type="expression" dxfId="737" priority="40">
      <formula>AND(B$9&gt;=8/24,B$9&lt;14/24)</formula>
    </cfRule>
    <cfRule type="expression" dxfId="736" priority="41">
      <formula>B$9&lt;8/24</formula>
    </cfRule>
  </conditionalFormatting>
  <conditionalFormatting sqref="B69:B71">
    <cfRule type="expression" dxfId="735" priority="46">
      <formula>B69&gt;$AG69</formula>
    </cfRule>
    <cfRule type="expression" dxfId="734" priority="47">
      <formula>B$9&gt;=20/24</formula>
    </cfRule>
    <cfRule type="expression" dxfId="733" priority="48">
      <formula>AND(B$9&gt;=14/24,B$9&lt;20/24)</formula>
    </cfRule>
    <cfRule type="expression" dxfId="732" priority="49">
      <formula>AND(B$9&gt;=8/24,B$9&lt;14/24)</formula>
    </cfRule>
    <cfRule type="expression" dxfId="731" priority="50">
      <formula>B$9&lt;8/24</formula>
    </cfRule>
  </conditionalFormatting>
  <conditionalFormatting sqref="B73:B91">
    <cfRule type="expression" dxfId="730" priority="1">
      <formula>B$9&gt;=20/24</formula>
    </cfRule>
    <cfRule type="expression" dxfId="729" priority="2">
      <formula>AND(B$9&gt;=14/24,B$9&lt;20/24)</formula>
    </cfRule>
    <cfRule type="expression" dxfId="728" priority="3">
      <formula>AND(B$9&gt;=8/24,B$9&lt;14/24)</formula>
    </cfRule>
    <cfRule type="expression" dxfId="727" priority="4">
      <formula>B$9&lt;8/24</formula>
    </cfRule>
  </conditionalFormatting>
  <conditionalFormatting sqref="B111:B120">
    <cfRule type="expression" dxfId="726" priority="10">
      <formula>B$9&gt;=20/24</formula>
    </cfRule>
    <cfRule type="expression" dxfId="725" priority="11">
      <formula>AND(B$9&gt;=14/24,B$9&lt;20/24)</formula>
    </cfRule>
    <cfRule type="expression" dxfId="724" priority="12">
      <formula>AND(B$9&gt;=8/24,B$9&lt;14/24)</formula>
    </cfRule>
    <cfRule type="expression" dxfId="723" priority="13">
      <formula>B$9&lt;8/24</formula>
    </cfRule>
  </conditionalFormatting>
  <conditionalFormatting sqref="B72 B67:B68">
    <cfRule type="expression" dxfId="722" priority="33">
      <formula>B67&gt;$AG67</formula>
    </cfRule>
  </conditionalFormatting>
  <conditionalFormatting sqref="B72 B93:B109">
    <cfRule type="expression" dxfId="721" priority="34">
      <formula>B$9&gt;=20/24</formula>
    </cfRule>
    <cfRule type="expression" dxfId="720" priority="35">
      <formula>AND(B$9&gt;=14/24,B$9&lt;20/24)</formula>
    </cfRule>
    <cfRule type="expression" dxfId="719" priority="36">
      <formula>AND(B$9&gt;=8/24,B$9&lt;14/24)</formula>
    </cfRule>
    <cfRule type="expression" dxfId="718" priority="37">
      <formula>B$9&lt;8/24</formula>
    </cfRule>
  </conditionalFormatting>
  <conditionalFormatting sqref="B55:B66">
    <cfRule type="expression" dxfId="717" priority="5">
      <formula>B55&gt;$AG55</formula>
    </cfRule>
  </conditionalFormatting>
  <conditionalFormatting sqref="B54">
    <cfRule type="expression" dxfId="716" priority="51">
      <formula>B54&gt;$AG54</formula>
    </cfRule>
    <cfRule type="expression" dxfId="715" priority="52">
      <formula>B$9&gt;=20/24</formula>
    </cfRule>
    <cfRule type="expression" dxfId="714" priority="53">
      <formula>AND(B$9&gt;=14/24,B$9&lt;20/24)</formula>
    </cfRule>
    <cfRule type="expression" dxfId="713" priority="54">
      <formula>AND(B$9&gt;=8/24,B$9&lt;14/24)</formula>
    </cfRule>
    <cfRule type="expression" dxfId="712" priority="55">
      <formula>B$9&lt;8/24</formula>
    </cfRule>
  </conditionalFormatting>
  <conditionalFormatting sqref="B55:B60">
    <cfRule type="expression" dxfId="711" priority="6">
      <formula>B$9&gt;=20/24</formula>
    </cfRule>
    <cfRule type="expression" dxfId="710" priority="7">
      <formula>AND(B$9&gt;=14/24,B$9&lt;20/24)</formula>
    </cfRule>
    <cfRule type="expression" dxfId="709" priority="8">
      <formula>AND(B$9&gt;=8/24,B$9&lt;14/24)</formula>
    </cfRule>
    <cfRule type="expression" dxfId="708" priority="9">
      <formula>B$9&lt;8/24</formula>
    </cfRule>
  </conditionalFormatting>
  <pageMargins left="0.7" right="0.7" top="0.75" bottom="0.75" header="0.3" footer="0.3"/>
  <drawing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74500-7C48-486E-909A-A35DF3208705}">
  <sheetPr codeName="Sheet32"/>
  <dimension ref="A1:CJ281"/>
  <sheetViews>
    <sheetView workbookViewId="0">
      <pane xSplit="1" ySplit="10" topLeftCell="B53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B7" sqref="AB7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.28515625" style="1" customWidth="1"/>
    <col min="12" max="12" width="7.42578125" style="1" customWidth="1"/>
    <col min="13" max="13" width="6.7109375" style="1" customWidth="1"/>
    <col min="14" max="14" width="7" style="1" customWidth="1"/>
    <col min="15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28" width="8.42578125" style="1" bestFit="1" customWidth="1"/>
    <col min="29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2080/05/28</v>
      </c>
      <c r="C4" s="196"/>
      <c r="D4" s="196"/>
      <c r="E4" s="197" t="str">
        <f ca="1">"2080/"&amp;"05/"&amp;INT(MID(CELL("filename",G6),FIND("]",CELL("filename",G6))+1,200))</f>
        <v>2080/05/28</v>
      </c>
      <c r="F4" s="197"/>
      <c r="G4" s="197"/>
      <c r="H4" s="197" t="str">
        <f ca="1">TEXT(E4,"dddd")</f>
        <v>Tuesday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6.9</v>
      </c>
      <c r="AB5" s="30">
        <f t="shared" si="0"/>
        <v>6.9</v>
      </c>
      <c r="AC5" s="30">
        <f t="shared" si="0"/>
        <v>7.3</v>
      </c>
      <c r="AD5" s="30">
        <f t="shared" si="0"/>
        <v>256.89999999999998</v>
      </c>
      <c r="AE5" s="30">
        <f t="shared" si="0"/>
        <v>6.1</v>
      </c>
      <c r="AF5" s="30">
        <f>B84</f>
        <v>2.2999999999999998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2155MW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Load=1555</v>
      </c>
      <c r="B7" s="35">
        <f t="shared" ref="B7:AF7" si="1">B91</f>
        <v>2098.5400000000004</v>
      </c>
      <c r="C7" s="35">
        <f t="shared" si="1"/>
        <v>2069.7400000000002</v>
      </c>
      <c r="D7" s="35">
        <f t="shared" si="1"/>
        <v>2070.7399999999998</v>
      </c>
      <c r="E7" s="35">
        <f t="shared" si="1"/>
        <v>2070.7399999999998</v>
      </c>
      <c r="F7" s="35">
        <f t="shared" si="1"/>
        <v>2065.54</v>
      </c>
      <c r="G7" s="35">
        <f t="shared" si="1"/>
        <v>2102.04</v>
      </c>
      <c r="H7" s="35">
        <f t="shared" si="1"/>
        <v>2099.1400000000003</v>
      </c>
      <c r="I7" s="35">
        <f t="shared" si="1"/>
        <v>2113.54</v>
      </c>
      <c r="J7" s="35">
        <f t="shared" si="1"/>
        <v>2119.54</v>
      </c>
      <c r="K7" s="35">
        <f t="shared" si="1"/>
        <v>2118.34</v>
      </c>
      <c r="L7" s="35">
        <f t="shared" si="1"/>
        <v>2150.34</v>
      </c>
      <c r="M7" s="35">
        <f t="shared" si="1"/>
        <v>2154.54</v>
      </c>
      <c r="N7" s="35">
        <f>N91</f>
        <v>2154.54</v>
      </c>
      <c r="O7" s="35">
        <f t="shared" si="1"/>
        <v>2173.64</v>
      </c>
      <c r="P7" s="35">
        <f t="shared" si="1"/>
        <v>2175.84</v>
      </c>
      <c r="Q7" s="35">
        <f t="shared" si="1"/>
        <v>2179.7399999999998</v>
      </c>
      <c r="R7" s="35">
        <f t="shared" si="1"/>
        <v>2168.7399999999998</v>
      </c>
      <c r="S7" s="35">
        <f t="shared" si="1"/>
        <v>2159.64</v>
      </c>
      <c r="T7" s="35">
        <f t="shared" si="1"/>
        <v>2170.84</v>
      </c>
      <c r="U7" s="35">
        <f t="shared" si="1"/>
        <v>2175.34</v>
      </c>
      <c r="V7" s="35">
        <f t="shared" si="1"/>
        <v>2176.34</v>
      </c>
      <c r="W7" s="35">
        <f t="shared" si="1"/>
        <v>2153.2399999999998</v>
      </c>
      <c r="X7" s="35">
        <f t="shared" si="1"/>
        <v>2115.44</v>
      </c>
      <c r="Y7" s="35">
        <f t="shared" si="1"/>
        <v>2188.94</v>
      </c>
      <c r="Z7" s="35">
        <f t="shared" si="1"/>
        <v>2215.2399999999998</v>
      </c>
      <c r="AA7" s="35">
        <f t="shared" si="1"/>
        <v>2215.2399999999998</v>
      </c>
      <c r="AB7" s="35">
        <f t="shared" si="1"/>
        <v>2203.14</v>
      </c>
      <c r="AC7" s="35">
        <f t="shared" si="1"/>
        <v>2177.94</v>
      </c>
      <c r="AD7" s="35">
        <f t="shared" si="1"/>
        <v>2130.1400000000003</v>
      </c>
      <c r="AE7" s="35">
        <f t="shared" si="1"/>
        <v>1860.94</v>
      </c>
      <c r="AF7" s="35">
        <f t="shared" si="1"/>
        <v>1555.1399999999999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89.9</v>
      </c>
      <c r="G11" s="45">
        <v>89.9</v>
      </c>
      <c r="H11" s="45">
        <v>89.9</v>
      </c>
      <c r="I11" s="45">
        <v>89.9</v>
      </c>
      <c r="J11" s="45">
        <v>89.9</v>
      </c>
      <c r="K11" s="45">
        <v>89.9</v>
      </c>
      <c r="L11" s="45">
        <v>89.9</v>
      </c>
      <c r="M11" s="45">
        <v>89.9</v>
      </c>
      <c r="N11" s="45">
        <v>89.9</v>
      </c>
      <c r="O11" s="45">
        <v>89.9</v>
      </c>
      <c r="P11" s="45">
        <v>89.9</v>
      </c>
      <c r="Q11" s="45">
        <v>89.9</v>
      </c>
      <c r="R11" s="45">
        <v>89.9</v>
      </c>
      <c r="S11" s="45">
        <v>89.9</v>
      </c>
      <c r="T11" s="45">
        <v>89.9</v>
      </c>
      <c r="U11" s="45">
        <v>89.9</v>
      </c>
      <c r="V11" s="45">
        <v>89.9</v>
      </c>
      <c r="W11" s="45">
        <v>89.9</v>
      </c>
      <c r="X11" s="45">
        <v>89.9</v>
      </c>
      <c r="Y11" s="45">
        <v>89.9</v>
      </c>
      <c r="Z11" s="45">
        <v>89.9</v>
      </c>
      <c r="AA11" s="45">
        <v>89.9</v>
      </c>
      <c r="AB11" s="45">
        <v>89.9</v>
      </c>
      <c r="AC11" s="45">
        <v>89.9</v>
      </c>
      <c r="AD11" s="45">
        <v>89.9</v>
      </c>
      <c r="AE11" s="45">
        <v>89.9</v>
      </c>
      <c r="AF11" s="45">
        <v>89.9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89.9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9</v>
      </c>
      <c r="D12" s="45">
        <v>9</v>
      </c>
      <c r="E12" s="45">
        <v>9</v>
      </c>
      <c r="F12" s="45">
        <v>9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9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54.3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0</v>
      </c>
      <c r="AF13" s="45">
        <v>0</v>
      </c>
      <c r="AG13" s="46">
        <v>52.4</v>
      </c>
      <c r="AH13" s="47">
        <f t="shared" si="2"/>
        <v>54.3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50.4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39</v>
      </c>
      <c r="E15" s="45">
        <v>39</v>
      </c>
      <c r="F15" s="45">
        <v>39</v>
      </c>
      <c r="G15" s="45">
        <v>39</v>
      </c>
      <c r="H15" s="45">
        <v>47</v>
      </c>
      <c r="I15" s="45">
        <v>47</v>
      </c>
      <c r="J15" s="45">
        <v>47</v>
      </c>
      <c r="K15" s="45">
        <v>47</v>
      </c>
      <c r="L15" s="45">
        <v>47</v>
      </c>
      <c r="M15" s="45">
        <v>47</v>
      </c>
      <c r="N15" s="45">
        <v>47</v>
      </c>
      <c r="O15" s="45">
        <v>47</v>
      </c>
      <c r="P15" s="45">
        <v>47</v>
      </c>
      <c r="Q15" s="45">
        <v>47</v>
      </c>
      <c r="R15" s="45">
        <v>47</v>
      </c>
      <c r="S15" s="45">
        <v>47</v>
      </c>
      <c r="T15" s="45">
        <v>47</v>
      </c>
      <c r="U15" s="45">
        <v>47</v>
      </c>
      <c r="V15" s="45">
        <v>47</v>
      </c>
      <c r="W15" s="45">
        <v>47</v>
      </c>
      <c r="X15" s="45">
        <v>37.799999999999997</v>
      </c>
      <c r="Y15" s="45">
        <v>37.799999999999997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47</v>
      </c>
      <c r="AI15" s="48">
        <f t="shared" si="3"/>
        <v>37.799999999999997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28.5</v>
      </c>
      <c r="G17" s="45">
        <v>32.1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32.1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30</v>
      </c>
      <c r="C19" s="45">
        <v>30</v>
      </c>
      <c r="D19" s="45">
        <v>30</v>
      </c>
      <c r="E19" s="45">
        <v>30</v>
      </c>
      <c r="F19" s="45">
        <v>30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10</v>
      </c>
      <c r="C20" s="45">
        <v>5</v>
      </c>
      <c r="D20" s="45">
        <v>5</v>
      </c>
      <c r="E20" s="45">
        <v>5</v>
      </c>
      <c r="F20" s="45">
        <v>5.4</v>
      </c>
      <c r="G20" s="45">
        <v>10.3</v>
      </c>
      <c r="H20" s="45">
        <v>10.3</v>
      </c>
      <c r="I20" s="45">
        <v>10.3</v>
      </c>
      <c r="J20" s="45">
        <v>10.3</v>
      </c>
      <c r="K20" s="45">
        <v>10.3</v>
      </c>
      <c r="L20" s="45">
        <v>20.8</v>
      </c>
      <c r="M20" s="45">
        <v>20.8</v>
      </c>
      <c r="N20" s="45">
        <v>20.8</v>
      </c>
      <c r="O20" s="45">
        <v>20.8</v>
      </c>
      <c r="P20" s="45">
        <v>20.8</v>
      </c>
      <c r="Q20" s="45">
        <v>20.8</v>
      </c>
      <c r="R20" s="45">
        <v>20.8</v>
      </c>
      <c r="S20" s="45">
        <v>20.8</v>
      </c>
      <c r="T20" s="45">
        <v>20.8</v>
      </c>
      <c r="U20" s="45">
        <v>20.8</v>
      </c>
      <c r="V20" s="45">
        <v>30.1</v>
      </c>
      <c r="W20" s="45">
        <v>21.1</v>
      </c>
      <c r="X20" s="45">
        <v>8.1999999999999993</v>
      </c>
      <c r="Y20" s="45">
        <v>30.2</v>
      </c>
      <c r="Z20" s="45">
        <v>30.2</v>
      </c>
      <c r="AA20" s="45">
        <v>30.2</v>
      </c>
      <c r="AB20" s="45">
        <v>30.2</v>
      </c>
      <c r="AC20" s="45">
        <v>30.2</v>
      </c>
      <c r="AD20" s="45">
        <v>15</v>
      </c>
      <c r="AE20" s="45">
        <v>15</v>
      </c>
      <c r="AF20" s="45">
        <v>15</v>
      </c>
      <c r="AG20" s="51">
        <v>30</v>
      </c>
      <c r="AH20" s="47">
        <f t="shared" si="2"/>
        <v>30.2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33.1</v>
      </c>
      <c r="N21" s="45">
        <v>33.1</v>
      </c>
      <c r="O21" s="45">
        <v>33.1</v>
      </c>
      <c r="P21" s="45">
        <v>33.1</v>
      </c>
      <c r="Q21" s="45">
        <v>33.1</v>
      </c>
      <c r="R21" s="45">
        <v>33.1</v>
      </c>
      <c r="S21" s="45">
        <v>33.1</v>
      </c>
      <c r="T21" s="45">
        <v>33.1</v>
      </c>
      <c r="U21" s="45">
        <v>33.1</v>
      </c>
      <c r="V21" s="45">
        <v>33.1</v>
      </c>
      <c r="W21" s="45">
        <v>33.1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33.1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15</v>
      </c>
      <c r="AF22" s="45">
        <v>15</v>
      </c>
      <c r="AG22" s="49">
        <v>28</v>
      </c>
      <c r="AH22" s="47">
        <f t="shared" si="2"/>
        <v>28.5</v>
      </c>
      <c r="AI22" s="48">
        <f t="shared" si="3"/>
        <v>15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8.5</v>
      </c>
      <c r="C23" s="45">
        <v>4.5</v>
      </c>
      <c r="D23" s="45">
        <v>4.5</v>
      </c>
      <c r="E23" s="45">
        <v>4.5</v>
      </c>
      <c r="F23" s="45">
        <v>4.5</v>
      </c>
      <c r="G23" s="45">
        <v>9</v>
      </c>
      <c r="H23" s="45">
        <v>9</v>
      </c>
      <c r="I23" s="45">
        <v>9</v>
      </c>
      <c r="J23" s="45">
        <v>9</v>
      </c>
      <c r="K23" s="45">
        <v>9</v>
      </c>
      <c r="L23" s="45">
        <v>18</v>
      </c>
      <c r="M23" s="45">
        <v>18</v>
      </c>
      <c r="N23" s="45">
        <v>18</v>
      </c>
      <c r="O23" s="45">
        <v>18</v>
      </c>
      <c r="P23" s="45">
        <v>18</v>
      </c>
      <c r="Q23" s="45">
        <v>18</v>
      </c>
      <c r="R23" s="45">
        <v>13</v>
      </c>
      <c r="S23" s="45">
        <v>13</v>
      </c>
      <c r="T23" s="45">
        <v>18</v>
      </c>
      <c r="U23" s="45">
        <v>18</v>
      </c>
      <c r="V23" s="45">
        <v>18</v>
      </c>
      <c r="W23" s="45">
        <v>13.5</v>
      </c>
      <c r="X23" s="45">
        <v>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13</v>
      </c>
      <c r="AE23" s="45">
        <v>6</v>
      </c>
      <c r="AF23" s="45">
        <v>6</v>
      </c>
      <c r="AG23" s="51">
        <v>30</v>
      </c>
      <c r="AH23" s="47">
        <f t="shared" si="2"/>
        <v>27</v>
      </c>
      <c r="AI23" s="48">
        <f t="shared" si="3"/>
        <v>4.5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</v>
      </c>
      <c r="C24" s="45">
        <v>25</v>
      </c>
      <c r="D24" s="45">
        <v>25</v>
      </c>
      <c r="E24" s="45">
        <v>25</v>
      </c>
      <c r="F24" s="45">
        <v>25</v>
      </c>
      <c r="G24" s="45">
        <v>25</v>
      </c>
      <c r="H24" s="45">
        <v>25</v>
      </c>
      <c r="I24" s="45">
        <v>25</v>
      </c>
      <c r="J24" s="45">
        <v>25</v>
      </c>
      <c r="K24" s="45">
        <v>25</v>
      </c>
      <c r="L24" s="45">
        <v>25</v>
      </c>
      <c r="M24" s="45">
        <v>25</v>
      </c>
      <c r="N24" s="45">
        <v>25</v>
      </c>
      <c r="O24" s="45">
        <v>25</v>
      </c>
      <c r="P24" s="45">
        <v>25</v>
      </c>
      <c r="Q24" s="45">
        <v>25</v>
      </c>
      <c r="R24" s="45">
        <v>25</v>
      </c>
      <c r="S24" s="45">
        <v>25</v>
      </c>
      <c r="T24" s="45">
        <v>25</v>
      </c>
      <c r="U24" s="45">
        <v>25</v>
      </c>
      <c r="V24" s="45">
        <v>25</v>
      </c>
      <c r="W24" s="45">
        <v>25</v>
      </c>
      <c r="X24" s="45">
        <v>25</v>
      </c>
      <c r="Y24" s="45">
        <v>25</v>
      </c>
      <c r="Z24" s="45">
        <v>25</v>
      </c>
      <c r="AA24" s="45">
        <v>25</v>
      </c>
      <c r="AB24" s="45">
        <v>25</v>
      </c>
      <c r="AC24" s="45">
        <v>25</v>
      </c>
      <c r="AD24" s="45">
        <v>25</v>
      </c>
      <c r="AE24" s="45">
        <v>25</v>
      </c>
      <c r="AF24" s="45">
        <v>25</v>
      </c>
      <c r="AG24" s="49">
        <v>25</v>
      </c>
      <c r="AH24" s="47">
        <f t="shared" si="2"/>
        <v>25</v>
      </c>
      <c r="AI24" s="48">
        <f t="shared" si="3"/>
        <v>25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20</v>
      </c>
      <c r="E26" s="45">
        <v>20</v>
      </c>
      <c r="F26" s="45">
        <v>20</v>
      </c>
      <c r="G26" s="45">
        <v>20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8</v>
      </c>
      <c r="C27" s="45">
        <v>4.5</v>
      </c>
      <c r="D27" s="45">
        <v>4.5</v>
      </c>
      <c r="E27" s="45">
        <v>4.5</v>
      </c>
      <c r="F27" s="45">
        <v>4.5</v>
      </c>
      <c r="G27" s="45">
        <v>8.5</v>
      </c>
      <c r="H27" s="45">
        <v>8.5</v>
      </c>
      <c r="I27" s="45">
        <v>8.5</v>
      </c>
      <c r="J27" s="45">
        <v>8.5</v>
      </c>
      <c r="K27" s="45">
        <v>8.5</v>
      </c>
      <c r="L27" s="45">
        <v>17</v>
      </c>
      <c r="M27" s="45">
        <v>17</v>
      </c>
      <c r="N27" s="45">
        <v>17</v>
      </c>
      <c r="O27" s="45">
        <v>17</v>
      </c>
      <c r="P27" s="45">
        <v>17</v>
      </c>
      <c r="Q27" s="45">
        <v>17</v>
      </c>
      <c r="R27" s="45">
        <v>13</v>
      </c>
      <c r="S27" s="45">
        <v>13</v>
      </c>
      <c r="T27" s="45">
        <v>17</v>
      </c>
      <c r="U27" s="45">
        <v>17</v>
      </c>
      <c r="V27" s="45">
        <v>17</v>
      </c>
      <c r="W27" s="45">
        <v>12.5</v>
      </c>
      <c r="X27" s="45">
        <v>6.5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12</v>
      </c>
      <c r="AE27" s="45">
        <v>6</v>
      </c>
      <c r="AF27" s="45">
        <v>6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0</v>
      </c>
      <c r="D33" s="45">
        <v>0</v>
      </c>
      <c r="E33" s="45">
        <v>0</v>
      </c>
      <c r="F33" s="45">
        <v>0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4</v>
      </c>
      <c r="AB33" s="45">
        <v>4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4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3.5</v>
      </c>
      <c r="H34" s="45">
        <v>3.5</v>
      </c>
      <c r="I34" s="45">
        <v>3.5</v>
      </c>
      <c r="J34" s="45">
        <v>3.5</v>
      </c>
      <c r="K34" s="45">
        <v>3.5</v>
      </c>
      <c r="L34" s="45">
        <v>3.5</v>
      </c>
      <c r="M34" s="45">
        <v>3.5</v>
      </c>
      <c r="N34" s="45">
        <v>3.5</v>
      </c>
      <c r="O34" s="45">
        <v>3.5</v>
      </c>
      <c r="P34" s="45">
        <v>3.5</v>
      </c>
      <c r="Q34" s="45">
        <v>3.5</v>
      </c>
      <c r="R34" s="45">
        <v>3.5</v>
      </c>
      <c r="S34" s="45">
        <v>3.5</v>
      </c>
      <c r="T34" s="45">
        <v>3.5</v>
      </c>
      <c r="U34" s="45">
        <v>3.5</v>
      </c>
      <c r="V34" s="45">
        <v>3.5</v>
      </c>
      <c r="W34" s="45">
        <v>3.5</v>
      </c>
      <c r="X34" s="45">
        <v>3.5</v>
      </c>
      <c r="Y34" s="45">
        <v>3.5</v>
      </c>
      <c r="Z34" s="45">
        <v>3.5</v>
      </c>
      <c r="AA34" s="45">
        <v>3.5</v>
      </c>
      <c r="AB34" s="45">
        <v>3.5</v>
      </c>
      <c r="AC34" s="45">
        <v>3.5</v>
      </c>
      <c r="AD34" s="45">
        <v>3.5</v>
      </c>
      <c r="AE34" s="45">
        <v>3.5</v>
      </c>
      <c r="AF34" s="45">
        <v>3.5</v>
      </c>
      <c r="AG34" s="49">
        <v>18</v>
      </c>
      <c r="AH34" s="47">
        <f t="shared" si="2"/>
        <v>3.5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15.4</v>
      </c>
      <c r="S35" s="45">
        <v>15.4</v>
      </c>
      <c r="T35" s="45">
        <v>15.4</v>
      </c>
      <c r="U35" s="45">
        <v>15.4</v>
      </c>
      <c r="V35" s="45">
        <v>15.4</v>
      </c>
      <c r="W35" s="45">
        <v>15.4</v>
      </c>
      <c r="X35" s="45">
        <v>15.4</v>
      </c>
      <c r="Y35" s="45">
        <v>15.4</v>
      </c>
      <c r="Z35" s="45">
        <v>15.4</v>
      </c>
      <c r="AA35" s="45">
        <v>15.4</v>
      </c>
      <c r="AB35" s="45">
        <v>15.4</v>
      </c>
      <c r="AC35" s="45">
        <v>15.4</v>
      </c>
      <c r="AD35" s="45">
        <v>15.4</v>
      </c>
      <c r="AE35" s="45">
        <v>15.4</v>
      </c>
      <c r="AF35" s="45">
        <v>15.4</v>
      </c>
      <c r="AG35" s="49">
        <v>14.9</v>
      </c>
      <c r="AH35" s="47">
        <f t="shared" si="2"/>
        <v>15.4</v>
      </c>
      <c r="AI35" s="48">
        <f t="shared" si="3"/>
        <v>15.4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8</v>
      </c>
      <c r="C39" s="45">
        <v>2</v>
      </c>
      <c r="D39" s="45">
        <v>2</v>
      </c>
      <c r="E39" s="45">
        <v>2</v>
      </c>
      <c r="F39" s="45">
        <v>2</v>
      </c>
      <c r="G39" s="45">
        <v>4</v>
      </c>
      <c r="H39" s="45">
        <v>4</v>
      </c>
      <c r="I39" s="45">
        <v>4</v>
      </c>
      <c r="J39" s="45">
        <v>4</v>
      </c>
      <c r="K39" s="45">
        <v>4</v>
      </c>
      <c r="L39" s="45">
        <v>8</v>
      </c>
      <c r="M39" s="45">
        <v>8</v>
      </c>
      <c r="N39" s="45">
        <v>8</v>
      </c>
      <c r="O39" s="45">
        <v>8</v>
      </c>
      <c r="P39" s="45">
        <v>8</v>
      </c>
      <c r="Q39" s="45">
        <v>8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2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6</v>
      </c>
      <c r="AE39" s="45">
        <v>4</v>
      </c>
      <c r="AF39" s="45">
        <v>4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4</v>
      </c>
      <c r="W40" s="45">
        <v>4</v>
      </c>
      <c r="X40" s="45">
        <v>4</v>
      </c>
      <c r="Y40" s="45">
        <v>4</v>
      </c>
      <c r="Z40" s="45">
        <v>4</v>
      </c>
      <c r="AA40" s="45">
        <v>4</v>
      </c>
      <c r="AB40" s="45">
        <v>4</v>
      </c>
      <c r="AC40" s="45">
        <v>4</v>
      </c>
      <c r="AD40" s="45">
        <v>4</v>
      </c>
      <c r="AE40" s="45">
        <v>4</v>
      </c>
      <c r="AF40" s="45">
        <v>4</v>
      </c>
      <c r="AG40" s="49">
        <v>12</v>
      </c>
      <c r="AH40" s="47">
        <f t="shared" si="2"/>
        <v>4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129.6</v>
      </c>
      <c r="C49" s="56">
        <v>129.6</v>
      </c>
      <c r="D49" s="56">
        <v>129.6</v>
      </c>
      <c r="E49" s="56">
        <v>129.6</v>
      </c>
      <c r="F49" s="56">
        <f>37.1+93</f>
        <v>130.1</v>
      </c>
      <c r="G49" s="56">
        <f>36.8+92.6</f>
        <v>129.39999999999998</v>
      </c>
      <c r="H49" s="56">
        <f>36.8+92.6</f>
        <v>129.39999999999998</v>
      </c>
      <c r="I49" s="56">
        <f>36.8+92.6</f>
        <v>129.39999999999998</v>
      </c>
      <c r="J49" s="56">
        <f>36.5+91.7</f>
        <v>128.19999999999999</v>
      </c>
      <c r="K49" s="56">
        <f>36.5+91.83</f>
        <v>128.32999999999998</v>
      </c>
      <c r="L49" s="56">
        <f>36.5+91.83</f>
        <v>128.32999999999998</v>
      </c>
      <c r="M49" s="56">
        <f>36.5+91.83</f>
        <v>128.32999999999998</v>
      </c>
      <c r="N49" s="56">
        <f>36.5+91.83</f>
        <v>128.32999999999998</v>
      </c>
      <c r="O49" s="56">
        <v>104</v>
      </c>
      <c r="P49" s="56">
        <v>104</v>
      </c>
      <c r="Q49" s="56">
        <v>104</v>
      </c>
      <c r="R49" s="56">
        <v>104</v>
      </c>
      <c r="S49" s="56">
        <v>104</v>
      </c>
      <c r="T49" s="56">
        <v>104</v>
      </c>
      <c r="U49" s="56">
        <v>104</v>
      </c>
      <c r="V49" s="56">
        <v>104</v>
      </c>
      <c r="W49" s="56">
        <v>104</v>
      </c>
      <c r="X49" s="56">
        <v>104</v>
      </c>
      <c r="Y49" s="56">
        <v>104</v>
      </c>
      <c r="Z49" s="56">
        <v>104</v>
      </c>
      <c r="AA49" s="56">
        <v>104</v>
      </c>
      <c r="AB49" s="56">
        <v>104</v>
      </c>
      <c r="AC49" s="56">
        <v>104</v>
      </c>
      <c r="AD49" s="56">
        <v>104</v>
      </c>
      <c r="AE49" s="56">
        <v>104</v>
      </c>
      <c r="AF49" s="56">
        <v>104</v>
      </c>
      <c r="AG49" s="54">
        <v>240</v>
      </c>
      <c r="AH49" s="47">
        <f t="shared" si="2"/>
        <v>130.1</v>
      </c>
      <c r="AI49" s="48">
        <f t="shared" si="3"/>
        <v>104</v>
      </c>
      <c r="AK49" s="50"/>
    </row>
    <row r="50" spans="1:41" ht="15.75" thickBot="1" x14ac:dyDescent="0.3">
      <c r="A50" s="59" t="s">
        <v>58</v>
      </c>
      <c r="B50" s="60">
        <f t="shared" ref="B50:AE50" si="4">SUM(B11:B48)</f>
        <v>1151.4000000000001</v>
      </c>
      <c r="C50" s="60">
        <f t="shared" si="4"/>
        <v>1124.9000000000001</v>
      </c>
      <c r="D50" s="60">
        <f t="shared" si="4"/>
        <v>1112.2</v>
      </c>
      <c r="E50" s="60">
        <f t="shared" si="4"/>
        <v>1112.2</v>
      </c>
      <c r="F50" s="60">
        <f t="shared" si="4"/>
        <v>1113</v>
      </c>
      <c r="G50" s="60">
        <f t="shared" si="4"/>
        <v>1149.5</v>
      </c>
      <c r="H50" s="60">
        <f t="shared" si="4"/>
        <v>1159.4000000000001</v>
      </c>
      <c r="I50" s="60">
        <f t="shared" si="4"/>
        <v>1159.4000000000001</v>
      </c>
      <c r="J50" s="60">
        <f t="shared" si="4"/>
        <v>1159.4000000000001</v>
      </c>
      <c r="K50" s="60">
        <f t="shared" si="4"/>
        <v>1159.4000000000001</v>
      </c>
      <c r="L50" s="60">
        <f t="shared" si="4"/>
        <v>1191.4000000000001</v>
      </c>
      <c r="M50" s="60">
        <f t="shared" si="4"/>
        <v>1191.4000000000001</v>
      </c>
      <c r="N50" s="60">
        <f t="shared" si="4"/>
        <v>1191.4000000000001</v>
      </c>
      <c r="O50" s="60">
        <f t="shared" si="4"/>
        <v>1191.4000000000001</v>
      </c>
      <c r="P50" s="60">
        <f t="shared" si="4"/>
        <v>1191.4000000000001</v>
      </c>
      <c r="Q50" s="60">
        <f t="shared" si="4"/>
        <v>1191.4000000000001</v>
      </c>
      <c r="R50" s="60">
        <f t="shared" si="4"/>
        <v>1180.4000000000001</v>
      </c>
      <c r="S50" s="60">
        <f t="shared" ref="S50:T50" si="5">SUM(S11:S48)</f>
        <v>1180.4000000000001</v>
      </c>
      <c r="T50" s="60">
        <f t="shared" si="5"/>
        <v>1189.4000000000001</v>
      </c>
      <c r="U50" s="60">
        <f t="shared" ref="U50:V50" si="6">SUM(U11:U48)</f>
        <v>1189.4000000000001</v>
      </c>
      <c r="V50" s="60">
        <f t="shared" si="6"/>
        <v>1198.7</v>
      </c>
      <c r="W50" s="60">
        <f t="shared" ref="W50:X50" si="7">SUM(W11:W48)</f>
        <v>1180.7</v>
      </c>
      <c r="X50" s="60">
        <f t="shared" si="7"/>
        <v>1142.0999999999999</v>
      </c>
      <c r="Y50" s="60">
        <f t="shared" ref="Y50:Z50" si="8">SUM(Y11:Y48)</f>
        <v>1212.5999999999999</v>
      </c>
      <c r="Z50" s="60">
        <f t="shared" si="8"/>
        <v>1221.5</v>
      </c>
      <c r="AA50" s="60">
        <f t="shared" ref="AA50" si="9">SUM(AA11:AA48)</f>
        <v>1221.5</v>
      </c>
      <c r="AB50" s="60">
        <f t="shared" si="4"/>
        <v>1221.5</v>
      </c>
      <c r="AC50" s="60">
        <f t="shared" si="4"/>
        <v>1221.5</v>
      </c>
      <c r="AD50" s="60">
        <f t="shared" si="4"/>
        <v>1173.3000000000002</v>
      </c>
      <c r="AE50" s="60">
        <f t="shared" si="4"/>
        <v>1090.5</v>
      </c>
      <c r="AF50" s="60">
        <f t="shared" ref="AF50" si="10">SUM(AF11:AF48)</f>
        <v>1090.5</v>
      </c>
      <c r="AG50" s="61">
        <f>SUM(AG13:AG48)</f>
        <v>922.14</v>
      </c>
      <c r="AH50" s="47">
        <f t="shared" si="2"/>
        <v>1221.5</v>
      </c>
      <c r="AI50" s="48">
        <f t="shared" si="3"/>
        <v>1090.5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0</v>
      </c>
      <c r="AF51" s="45">
        <v>0</v>
      </c>
      <c r="AG51" s="51">
        <v>456</v>
      </c>
      <c r="AH51" s="47">
        <f t="shared" si="2"/>
        <v>456</v>
      </c>
      <c r="AI51" s="48">
        <f t="shared" si="3"/>
        <v>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54</v>
      </c>
      <c r="G52" s="64">
        <v>54</v>
      </c>
      <c r="H52" s="64">
        <v>54</v>
      </c>
      <c r="I52" s="64">
        <v>54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25</v>
      </c>
      <c r="AF52" s="64">
        <v>25</v>
      </c>
      <c r="AG52" s="54">
        <v>60</v>
      </c>
      <c r="AH52" s="47">
        <f t="shared" si="2"/>
        <v>60</v>
      </c>
      <c r="AI52" s="48">
        <f t="shared" si="3"/>
        <v>25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11">SUM(B51:B53)</f>
        <v>538</v>
      </c>
      <c r="C54" s="60">
        <f t="shared" si="11"/>
        <v>538</v>
      </c>
      <c r="D54" s="60">
        <f t="shared" si="11"/>
        <v>538</v>
      </c>
      <c r="E54" s="60">
        <f t="shared" si="11"/>
        <v>538</v>
      </c>
      <c r="F54" s="60">
        <f t="shared" si="11"/>
        <v>532</v>
      </c>
      <c r="G54" s="60">
        <f t="shared" si="11"/>
        <v>532</v>
      </c>
      <c r="H54" s="60">
        <f t="shared" si="11"/>
        <v>532</v>
      </c>
      <c r="I54" s="60">
        <f t="shared" si="11"/>
        <v>532</v>
      </c>
      <c r="J54" s="60">
        <f t="shared" si="11"/>
        <v>538</v>
      </c>
      <c r="K54" s="60">
        <f t="shared" si="11"/>
        <v>538</v>
      </c>
      <c r="L54" s="60">
        <f t="shared" si="11"/>
        <v>538</v>
      </c>
      <c r="M54" s="60">
        <f t="shared" si="11"/>
        <v>538</v>
      </c>
      <c r="N54" s="60">
        <f t="shared" si="11"/>
        <v>538</v>
      </c>
      <c r="O54" s="60">
        <f t="shared" si="11"/>
        <v>538</v>
      </c>
      <c r="P54" s="60">
        <f t="shared" si="11"/>
        <v>538</v>
      </c>
      <c r="Q54" s="60">
        <f t="shared" si="11"/>
        <v>538</v>
      </c>
      <c r="R54" s="60">
        <f t="shared" si="11"/>
        <v>538</v>
      </c>
      <c r="S54" s="60">
        <f t="shared" ref="S54:T54" si="12">SUM(S51:S53)</f>
        <v>538</v>
      </c>
      <c r="T54" s="60">
        <f t="shared" si="12"/>
        <v>538</v>
      </c>
      <c r="U54" s="60">
        <f t="shared" ref="U54:V54" si="13">SUM(U51:U53)</f>
        <v>538</v>
      </c>
      <c r="V54" s="60">
        <f t="shared" si="13"/>
        <v>538</v>
      </c>
      <c r="W54" s="60">
        <f t="shared" ref="W54:X54" si="14">SUM(W51:W53)</f>
        <v>538</v>
      </c>
      <c r="X54" s="60">
        <f t="shared" si="14"/>
        <v>538</v>
      </c>
      <c r="Y54" s="60">
        <f t="shared" ref="Y54:Z54" si="15">SUM(Y51:Y53)</f>
        <v>538</v>
      </c>
      <c r="Z54" s="60">
        <f t="shared" si="15"/>
        <v>538</v>
      </c>
      <c r="AA54" s="60">
        <f t="shared" ref="AA54" si="16">SUM(AA51:AA53)</f>
        <v>538</v>
      </c>
      <c r="AB54" s="60">
        <f t="shared" si="11"/>
        <v>538</v>
      </c>
      <c r="AC54" s="60">
        <f t="shared" si="11"/>
        <v>538</v>
      </c>
      <c r="AD54" s="60">
        <f t="shared" si="11"/>
        <v>538</v>
      </c>
      <c r="AE54" s="60">
        <f t="shared" si="11"/>
        <v>47</v>
      </c>
      <c r="AF54" s="60">
        <f t="shared" ref="AF54" si="17">SUM(AF51:AF53)</f>
        <v>47</v>
      </c>
      <c r="AG54" s="61">
        <f t="shared" si="11"/>
        <v>538.1</v>
      </c>
      <c r="AH54" s="47">
        <f t="shared" si="2"/>
        <v>538</v>
      </c>
      <c r="AI54" s="48">
        <f t="shared" si="3"/>
        <v>47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144</v>
      </c>
      <c r="E55" s="45">
        <v>144</v>
      </c>
      <c r="F55" s="45">
        <v>144</v>
      </c>
      <c r="G55" s="45">
        <v>144</v>
      </c>
      <c r="H55" s="45">
        <v>144</v>
      </c>
      <c r="I55" s="45">
        <v>144</v>
      </c>
      <c r="J55" s="45">
        <v>144</v>
      </c>
      <c r="K55" s="45">
        <v>144</v>
      </c>
      <c r="L55" s="45">
        <v>144</v>
      </c>
      <c r="M55" s="45">
        <v>144</v>
      </c>
      <c r="N55" s="45">
        <v>144</v>
      </c>
      <c r="O55" s="45">
        <v>144</v>
      </c>
      <c r="P55" s="45">
        <v>144</v>
      </c>
      <c r="Q55" s="45">
        <v>144</v>
      </c>
      <c r="R55" s="45">
        <v>144</v>
      </c>
      <c r="S55" s="45">
        <v>144</v>
      </c>
      <c r="T55" s="45">
        <v>144</v>
      </c>
      <c r="U55" s="45">
        <v>144</v>
      </c>
      <c r="V55" s="45">
        <v>144</v>
      </c>
      <c r="W55" s="45">
        <v>144</v>
      </c>
      <c r="X55" s="45">
        <v>144</v>
      </c>
      <c r="Y55" s="45">
        <v>144</v>
      </c>
      <c r="Z55" s="45">
        <v>144</v>
      </c>
      <c r="AA55" s="45">
        <v>144</v>
      </c>
      <c r="AB55" s="45">
        <v>144</v>
      </c>
      <c r="AC55" s="45">
        <v>144</v>
      </c>
      <c r="AD55" s="45">
        <v>144</v>
      </c>
      <c r="AE55" s="45">
        <v>144</v>
      </c>
      <c r="AF55" s="45">
        <v>144</v>
      </c>
      <c r="AG55" s="51">
        <v>144</v>
      </c>
      <c r="AH55" s="47">
        <f t="shared" si="2"/>
        <v>144</v>
      </c>
      <c r="AI55" s="48">
        <f t="shared" si="3"/>
        <v>144</v>
      </c>
      <c r="AK55" s="50"/>
    </row>
    <row r="56" spans="1:41" x14ac:dyDescent="0.25">
      <c r="A56" s="53" t="s">
        <v>64</v>
      </c>
      <c r="B56" s="64">
        <v>69</v>
      </c>
      <c r="C56" s="64">
        <v>69</v>
      </c>
      <c r="D56" s="64">
        <v>69</v>
      </c>
      <c r="E56" s="64">
        <v>69</v>
      </c>
      <c r="F56" s="64">
        <v>69</v>
      </c>
      <c r="G56" s="64">
        <v>69</v>
      </c>
      <c r="H56" s="64">
        <v>71.3</v>
      </c>
      <c r="I56" s="64">
        <v>71.3</v>
      </c>
      <c r="J56" s="64">
        <v>71.3</v>
      </c>
      <c r="K56" s="64">
        <v>70.599999999999994</v>
      </c>
      <c r="L56" s="64">
        <v>70.599999999999994</v>
      </c>
      <c r="M56" s="64">
        <v>68.5</v>
      </c>
      <c r="N56" s="64">
        <v>68.5</v>
      </c>
      <c r="O56" s="64">
        <v>68.5</v>
      </c>
      <c r="P56" s="64">
        <v>68.5</v>
      </c>
      <c r="Q56" s="64">
        <v>68.5</v>
      </c>
      <c r="R56" s="64">
        <v>68.5</v>
      </c>
      <c r="S56" s="64">
        <v>59.5</v>
      </c>
      <c r="T56" s="64">
        <v>59.5</v>
      </c>
      <c r="U56" s="64">
        <v>69.2</v>
      </c>
      <c r="V56" s="64">
        <v>69.2</v>
      </c>
      <c r="W56" s="64">
        <v>68.5</v>
      </c>
      <c r="X56" s="64">
        <v>69.599999999999994</v>
      </c>
      <c r="Y56" s="64">
        <v>69.599999999999994</v>
      </c>
      <c r="Z56" s="64">
        <v>69.599999999999994</v>
      </c>
      <c r="AA56" s="64">
        <v>69.599999999999994</v>
      </c>
      <c r="AB56" s="64">
        <v>69.599999999999994</v>
      </c>
      <c r="AC56" s="64">
        <v>69.599999999999994</v>
      </c>
      <c r="AD56" s="64">
        <v>69.599999999999994</v>
      </c>
      <c r="AE56" s="64">
        <v>69.599999999999994</v>
      </c>
      <c r="AF56" s="64">
        <v>69.599999999999994</v>
      </c>
      <c r="AG56" s="54">
        <v>70</v>
      </c>
      <c r="AH56" s="47">
        <f t="shared" si="2"/>
        <v>71.3</v>
      </c>
      <c r="AI56" s="48">
        <f t="shared" si="3"/>
        <v>59.5</v>
      </c>
      <c r="AK56" s="50"/>
    </row>
    <row r="57" spans="1:41" x14ac:dyDescent="0.25">
      <c r="A57" s="53" t="s">
        <v>65</v>
      </c>
      <c r="B57" s="64">
        <v>52</v>
      </c>
      <c r="C57" s="64">
        <v>52</v>
      </c>
      <c r="D57" s="64">
        <v>65.400000000000006</v>
      </c>
      <c r="E57" s="64">
        <v>65.400000000000006</v>
      </c>
      <c r="F57" s="64">
        <v>65.400000000000006</v>
      </c>
      <c r="G57" s="64">
        <v>65.400000000000006</v>
      </c>
      <c r="H57" s="64">
        <v>50.5</v>
      </c>
      <c r="I57" s="64">
        <v>64.900000000000006</v>
      </c>
      <c r="J57" s="64">
        <v>64.900000000000006</v>
      </c>
      <c r="K57" s="64">
        <v>64.7</v>
      </c>
      <c r="L57" s="64">
        <v>64.7</v>
      </c>
      <c r="M57" s="64">
        <v>65.900000000000006</v>
      </c>
      <c r="N57" s="64">
        <v>65.900000000000006</v>
      </c>
      <c r="O57" s="64">
        <v>65.900000000000006</v>
      </c>
      <c r="P57" s="64">
        <v>65.900000000000006</v>
      </c>
      <c r="Q57" s="64">
        <v>65.900000000000006</v>
      </c>
      <c r="R57" s="64">
        <v>65.900000000000006</v>
      </c>
      <c r="S57" s="64">
        <v>65.3</v>
      </c>
      <c r="T57" s="64">
        <v>65.3</v>
      </c>
      <c r="U57" s="64">
        <v>65.3</v>
      </c>
      <c r="V57" s="64">
        <v>66.2</v>
      </c>
      <c r="W57" s="64">
        <v>67</v>
      </c>
      <c r="X57" s="64">
        <v>66.900000000000006</v>
      </c>
      <c r="Y57" s="64">
        <v>66.900000000000006</v>
      </c>
      <c r="Z57" s="64">
        <v>66.900000000000006</v>
      </c>
      <c r="AA57" s="64">
        <v>66.900000000000006</v>
      </c>
      <c r="AB57" s="64">
        <v>66.900000000000006</v>
      </c>
      <c r="AC57" s="64">
        <v>66.900000000000006</v>
      </c>
      <c r="AD57" s="64">
        <v>66.900000000000006</v>
      </c>
      <c r="AE57" s="64">
        <v>66.900000000000006</v>
      </c>
      <c r="AF57" s="64">
        <v>66.900000000000006</v>
      </c>
      <c r="AG57" s="54">
        <v>69</v>
      </c>
      <c r="AH57" s="47">
        <f t="shared" si="2"/>
        <v>67</v>
      </c>
      <c r="AI57" s="48">
        <f t="shared" si="3"/>
        <v>50.5</v>
      </c>
      <c r="AK57" s="50"/>
    </row>
    <row r="58" spans="1:41" x14ac:dyDescent="0.25">
      <c r="A58" s="53" t="s">
        <v>66</v>
      </c>
      <c r="B58" s="64">
        <v>61.7</v>
      </c>
      <c r="C58" s="64">
        <v>61.7</v>
      </c>
      <c r="D58" s="64">
        <v>61.7</v>
      </c>
      <c r="E58" s="64">
        <v>61.7</v>
      </c>
      <c r="F58" s="64">
        <v>61.7</v>
      </c>
      <c r="G58" s="64">
        <v>61.7</v>
      </c>
      <c r="H58" s="64">
        <v>61.5</v>
      </c>
      <c r="I58" s="64">
        <v>61.5</v>
      </c>
      <c r="J58" s="64">
        <v>61.5</v>
      </c>
      <c r="K58" s="56">
        <v>61.2</v>
      </c>
      <c r="L58" s="56">
        <v>61.2</v>
      </c>
      <c r="M58" s="64">
        <v>56.7</v>
      </c>
      <c r="N58" s="64">
        <v>56.7</v>
      </c>
      <c r="O58" s="64">
        <v>56.7</v>
      </c>
      <c r="P58" s="64">
        <v>56.7</v>
      </c>
      <c r="Q58" s="64">
        <v>56.7</v>
      </c>
      <c r="R58" s="64">
        <v>56.7</v>
      </c>
      <c r="S58" s="64">
        <v>61.4</v>
      </c>
      <c r="T58" s="64">
        <v>61.4</v>
      </c>
      <c r="U58" s="64">
        <v>61.4</v>
      </c>
      <c r="V58" s="64">
        <v>61.4</v>
      </c>
      <c r="W58" s="64">
        <v>61.4</v>
      </c>
      <c r="X58" s="64">
        <v>61.2</v>
      </c>
      <c r="Y58" s="64">
        <v>61.2</v>
      </c>
      <c r="Z58" s="64">
        <v>61.2</v>
      </c>
      <c r="AA58" s="64">
        <v>61.2</v>
      </c>
      <c r="AB58" s="64">
        <v>61.2</v>
      </c>
      <c r="AC58" s="64">
        <v>61.2</v>
      </c>
      <c r="AD58" s="64">
        <v>61.2</v>
      </c>
      <c r="AE58" s="64">
        <v>61.2</v>
      </c>
      <c r="AF58" s="64">
        <v>61.2</v>
      </c>
      <c r="AG58" s="54">
        <v>60</v>
      </c>
      <c r="AH58" s="47">
        <f t="shared" si="2"/>
        <v>61.7</v>
      </c>
      <c r="AI58" s="48">
        <f t="shared" si="3"/>
        <v>56.7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56">
        <v>29</v>
      </c>
      <c r="L59" s="56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25</v>
      </c>
      <c r="W59" s="64">
        <v>25</v>
      </c>
      <c r="X59" s="64">
        <v>25</v>
      </c>
      <c r="Y59" s="64">
        <v>29</v>
      </c>
      <c r="Z59" s="64">
        <v>29</v>
      </c>
      <c r="AA59" s="64">
        <v>29</v>
      </c>
      <c r="AB59" s="64">
        <v>29</v>
      </c>
      <c r="AC59" s="64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29</v>
      </c>
      <c r="AI59" s="48">
        <f t="shared" si="3"/>
        <v>25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9.6</v>
      </c>
      <c r="N60" s="64">
        <v>9.6</v>
      </c>
      <c r="O60" s="64">
        <v>9.6</v>
      </c>
      <c r="P60" s="64">
        <v>9.6</v>
      </c>
      <c r="Q60" s="64">
        <v>18.7</v>
      </c>
      <c r="R60" s="64">
        <v>18.7</v>
      </c>
      <c r="S60" s="64">
        <v>12.5</v>
      </c>
      <c r="T60" s="64">
        <v>9.5</v>
      </c>
      <c r="U60" s="64">
        <v>6.6</v>
      </c>
      <c r="V60" s="64">
        <v>1.4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13</v>
      </c>
      <c r="C61" s="64">
        <v>13</v>
      </c>
      <c r="D61" s="64">
        <v>13</v>
      </c>
      <c r="E61" s="64">
        <v>13</v>
      </c>
      <c r="F61" s="64">
        <v>13</v>
      </c>
      <c r="G61" s="64">
        <v>13</v>
      </c>
      <c r="H61" s="64">
        <v>13</v>
      </c>
      <c r="I61" s="64">
        <v>13</v>
      </c>
      <c r="J61" s="64">
        <v>13</v>
      </c>
      <c r="K61" s="64">
        <v>13</v>
      </c>
      <c r="L61" s="64">
        <v>13</v>
      </c>
      <c r="M61" s="64">
        <v>13</v>
      </c>
      <c r="N61" s="64">
        <v>13</v>
      </c>
      <c r="O61" s="64">
        <v>13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13</v>
      </c>
      <c r="Z61" s="64">
        <v>13</v>
      </c>
      <c r="AA61" s="64">
        <v>13</v>
      </c>
      <c r="AB61" s="64">
        <v>13</v>
      </c>
      <c r="AC61" s="64">
        <v>13</v>
      </c>
      <c r="AD61" s="64">
        <v>13</v>
      </c>
      <c r="AE61" s="64">
        <v>13</v>
      </c>
      <c r="AF61" s="64">
        <v>13</v>
      </c>
      <c r="AG61" s="54">
        <v>24</v>
      </c>
      <c r="AH61" s="47">
        <f t="shared" si="2"/>
        <v>13</v>
      </c>
      <c r="AI61" s="48">
        <f t="shared" si="3"/>
        <v>13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0</v>
      </c>
      <c r="R62" s="64">
        <v>0</v>
      </c>
      <c r="S62" s="64">
        <v>0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0</v>
      </c>
      <c r="C63" s="64">
        <v>0</v>
      </c>
      <c r="D63" s="64">
        <v>0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64">
        <v>0</v>
      </c>
      <c r="N63" s="64">
        <v>0</v>
      </c>
      <c r="O63" s="64">
        <v>0</v>
      </c>
      <c r="P63" s="64">
        <v>0</v>
      </c>
      <c r="Q63" s="64">
        <v>0</v>
      </c>
      <c r="R63" s="64">
        <v>0</v>
      </c>
      <c r="S63" s="64">
        <v>0</v>
      </c>
      <c r="T63" s="64">
        <v>0</v>
      </c>
      <c r="U63" s="64">
        <v>0</v>
      </c>
      <c r="V63" s="64">
        <v>0</v>
      </c>
      <c r="W63" s="64">
        <v>0</v>
      </c>
      <c r="X63" s="64">
        <v>0</v>
      </c>
      <c r="Y63" s="64">
        <v>0</v>
      </c>
      <c r="Z63" s="64">
        <v>0</v>
      </c>
      <c r="AA63" s="6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54">
        <v>14.1</v>
      </c>
      <c r="AH63" s="47">
        <f t="shared" si="2"/>
        <v>0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14.3</v>
      </c>
      <c r="E64" s="64">
        <v>14.3</v>
      </c>
      <c r="F64" s="64">
        <v>14.3</v>
      </c>
      <c r="G64" s="64">
        <v>14.3</v>
      </c>
      <c r="H64" s="64">
        <v>14.3</v>
      </c>
      <c r="I64" s="64">
        <v>14.3</v>
      </c>
      <c r="J64" s="64">
        <v>14.3</v>
      </c>
      <c r="K64" s="64">
        <v>14.3</v>
      </c>
      <c r="L64" s="64">
        <v>14.3</v>
      </c>
      <c r="M64" s="64">
        <v>14.3</v>
      </c>
      <c r="N64" s="64">
        <v>14.3</v>
      </c>
      <c r="O64" s="64">
        <v>14.3</v>
      </c>
      <c r="P64" s="64">
        <v>14.3</v>
      </c>
      <c r="Q64" s="64">
        <v>14.3</v>
      </c>
      <c r="R64" s="64">
        <v>14.3</v>
      </c>
      <c r="S64" s="64">
        <v>14.3</v>
      </c>
      <c r="T64" s="64">
        <v>14.3</v>
      </c>
      <c r="U64" s="64">
        <v>14.3</v>
      </c>
      <c r="V64" s="64">
        <v>14.3</v>
      </c>
      <c r="W64" s="64">
        <v>10.5</v>
      </c>
      <c r="X64" s="64">
        <v>10.5</v>
      </c>
      <c r="Y64" s="64">
        <v>10.5</v>
      </c>
      <c r="Z64" s="64">
        <v>3.7</v>
      </c>
      <c r="AA64" s="64">
        <v>3.7</v>
      </c>
      <c r="AB64" s="64">
        <v>3.7</v>
      </c>
      <c r="AC64" s="64">
        <v>3.7</v>
      </c>
      <c r="AD64" s="64">
        <v>3.7</v>
      </c>
      <c r="AE64" s="64">
        <v>3.7</v>
      </c>
      <c r="AF64" s="64">
        <v>3.7</v>
      </c>
      <c r="AG64" s="54">
        <v>14</v>
      </c>
      <c r="AH64" s="47">
        <f t="shared" si="2"/>
        <v>14.3</v>
      </c>
      <c r="AI64" s="48">
        <f t="shared" si="3"/>
        <v>3.7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8">SUM(B55:B67)</f>
        <v>406.84</v>
      </c>
      <c r="C68" s="60">
        <f t="shared" si="18"/>
        <v>406.84</v>
      </c>
      <c r="D68" s="60">
        <f t="shared" si="18"/>
        <v>420.53999999999996</v>
      </c>
      <c r="E68" s="60">
        <f t="shared" si="18"/>
        <v>420.53999999999996</v>
      </c>
      <c r="F68" s="60">
        <f t="shared" si="18"/>
        <v>420.53999999999996</v>
      </c>
      <c r="G68" s="60">
        <f t="shared" si="18"/>
        <v>420.53999999999996</v>
      </c>
      <c r="H68" s="60">
        <f t="shared" si="18"/>
        <v>407.74</v>
      </c>
      <c r="I68" s="60">
        <f t="shared" si="18"/>
        <v>422.14000000000004</v>
      </c>
      <c r="J68" s="60">
        <f t="shared" si="18"/>
        <v>422.14000000000004</v>
      </c>
      <c r="K68" s="60">
        <f t="shared" si="18"/>
        <v>420.94</v>
      </c>
      <c r="L68" s="60">
        <f t="shared" si="18"/>
        <v>420.94</v>
      </c>
      <c r="M68" s="60">
        <f t="shared" si="18"/>
        <v>425.14</v>
      </c>
      <c r="N68" s="60">
        <f t="shared" si="18"/>
        <v>425.14</v>
      </c>
      <c r="O68" s="60">
        <f t="shared" si="18"/>
        <v>425.14</v>
      </c>
      <c r="P68" s="60">
        <f t="shared" si="18"/>
        <v>425.14</v>
      </c>
      <c r="Q68" s="60">
        <f t="shared" si="18"/>
        <v>429.03999999999996</v>
      </c>
      <c r="R68" s="60">
        <f t="shared" si="18"/>
        <v>429.03999999999996</v>
      </c>
      <c r="S68" s="60">
        <f t="shared" ref="S68:T68" si="19">SUM(S55:S67)</f>
        <v>417.94</v>
      </c>
      <c r="T68" s="60">
        <f t="shared" si="19"/>
        <v>420.14</v>
      </c>
      <c r="U68" s="60">
        <f t="shared" ref="U68:V68" si="20">SUM(U55:U67)</f>
        <v>426.94</v>
      </c>
      <c r="V68" s="60">
        <f t="shared" si="20"/>
        <v>418.63999999999993</v>
      </c>
      <c r="W68" s="60">
        <f t="shared" ref="W68:X68" si="21">SUM(W55:W67)</f>
        <v>413.53999999999996</v>
      </c>
      <c r="X68" s="60">
        <f t="shared" si="21"/>
        <v>414.34</v>
      </c>
      <c r="Y68" s="60">
        <f t="shared" ref="Y68:Z68" si="22">SUM(Y55:Y67)</f>
        <v>418.34</v>
      </c>
      <c r="Z68" s="60">
        <f t="shared" si="22"/>
        <v>411.53999999999996</v>
      </c>
      <c r="AA68" s="60">
        <f t="shared" ref="AA68" si="23">SUM(AA55:AA67)</f>
        <v>411.53999999999996</v>
      </c>
      <c r="AB68" s="60">
        <f t="shared" si="18"/>
        <v>411.53999999999996</v>
      </c>
      <c r="AC68" s="60">
        <f t="shared" si="18"/>
        <v>411.53999999999996</v>
      </c>
      <c r="AD68" s="60">
        <f t="shared" si="18"/>
        <v>411.53999999999996</v>
      </c>
      <c r="AE68" s="60">
        <f t="shared" si="18"/>
        <v>411.53999999999996</v>
      </c>
      <c r="AF68" s="60">
        <f t="shared" si="18"/>
        <v>411.53999999999996</v>
      </c>
      <c r="AG68" s="61">
        <f t="shared" si="18"/>
        <v>489.91</v>
      </c>
      <c r="AH68" s="47">
        <f t="shared" si="2"/>
        <v>429.03999999999996</v>
      </c>
      <c r="AI68" s="48">
        <f t="shared" si="3"/>
        <v>406.84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>
        <v>14</v>
      </c>
      <c r="P69" s="45">
        <v>14</v>
      </c>
      <c r="Q69" s="45">
        <v>14</v>
      </c>
      <c r="R69" s="45">
        <v>14</v>
      </c>
      <c r="S69" s="45">
        <v>14</v>
      </c>
      <c r="T69" s="45">
        <v>14</v>
      </c>
      <c r="U69" s="45">
        <v>14</v>
      </c>
      <c r="V69" s="45">
        <v>14</v>
      </c>
      <c r="W69" s="45">
        <v>14</v>
      </c>
      <c r="X69" s="45">
        <v>14</v>
      </c>
      <c r="Y69" s="45">
        <v>14</v>
      </c>
      <c r="Z69" s="45">
        <v>30</v>
      </c>
      <c r="AA69" s="45">
        <v>30</v>
      </c>
      <c r="AB69" s="45">
        <v>14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>
        <v>3.7</v>
      </c>
      <c r="P70" s="64">
        <v>5.3</v>
      </c>
      <c r="Q70" s="64">
        <v>5.3</v>
      </c>
      <c r="R70" s="64">
        <v>5.3</v>
      </c>
      <c r="S70" s="64">
        <v>6.8</v>
      </c>
      <c r="T70" s="64">
        <v>6.8</v>
      </c>
      <c r="U70" s="64">
        <v>5.0999999999999996</v>
      </c>
      <c r="V70" s="64">
        <v>5.0999999999999996</v>
      </c>
      <c r="W70" s="64">
        <v>5.0999999999999996</v>
      </c>
      <c r="X70" s="64">
        <v>5.0999999999999996</v>
      </c>
      <c r="Y70" s="64">
        <v>4.0999999999999996</v>
      </c>
      <c r="Z70" s="64">
        <v>10.4</v>
      </c>
      <c r="AA70" s="64">
        <v>10.4</v>
      </c>
      <c r="AB70" s="64">
        <v>8.1999999999999993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10.4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>
        <v>1.4</v>
      </c>
      <c r="P71" s="66">
        <v>2</v>
      </c>
      <c r="Q71" s="66">
        <v>2</v>
      </c>
      <c r="R71" s="66">
        <v>2</v>
      </c>
      <c r="S71" s="66">
        <v>2.5</v>
      </c>
      <c r="T71" s="66">
        <v>2.5</v>
      </c>
      <c r="U71" s="66">
        <v>1.9</v>
      </c>
      <c r="V71" s="66">
        <v>1.9</v>
      </c>
      <c r="W71" s="66">
        <v>1.9</v>
      </c>
      <c r="X71" s="66">
        <v>1.9</v>
      </c>
      <c r="Y71" s="66">
        <v>1.9</v>
      </c>
      <c r="Z71" s="66">
        <v>3.8</v>
      </c>
      <c r="AA71" s="66">
        <v>3.8</v>
      </c>
      <c r="AB71" s="66">
        <v>3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3.8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24">M69+M70+M71</f>
        <v>0</v>
      </c>
      <c r="N72" s="60">
        <f t="shared" si="24"/>
        <v>0</v>
      </c>
      <c r="O72" s="60">
        <f t="shared" si="24"/>
        <v>19.099999999999998</v>
      </c>
      <c r="P72" s="60">
        <f t="shared" si="24"/>
        <v>21.3</v>
      </c>
      <c r="Q72" s="60">
        <f t="shared" si="24"/>
        <v>21.3</v>
      </c>
      <c r="R72" s="60">
        <f t="shared" si="24"/>
        <v>21.3</v>
      </c>
      <c r="S72" s="60">
        <f t="shared" ref="S72:T72" si="25">S69+S70+S71</f>
        <v>23.3</v>
      </c>
      <c r="T72" s="60">
        <f t="shared" si="25"/>
        <v>23.3</v>
      </c>
      <c r="U72" s="60">
        <f t="shared" ref="U72:V72" si="26">U69+U70+U71</f>
        <v>21</v>
      </c>
      <c r="V72" s="60">
        <f t="shared" si="26"/>
        <v>21</v>
      </c>
      <c r="W72" s="60">
        <f t="shared" ref="W72:X72" si="27">W69+W70+W71</f>
        <v>21</v>
      </c>
      <c r="X72" s="60">
        <f t="shared" si="27"/>
        <v>21</v>
      </c>
      <c r="Y72" s="60">
        <f t="shared" ref="Y72:Z72" si="28">Y69+Y70+Y71</f>
        <v>20</v>
      </c>
      <c r="Z72" s="60">
        <f t="shared" si="28"/>
        <v>44.199999999999996</v>
      </c>
      <c r="AA72" s="60">
        <f t="shared" ref="AA72" si="29">AA69+AA70+AA71</f>
        <v>44.199999999999996</v>
      </c>
      <c r="AB72" s="60">
        <f t="shared" si="24"/>
        <v>25.2</v>
      </c>
      <c r="AC72" s="60">
        <f t="shared" si="24"/>
        <v>0</v>
      </c>
      <c r="AD72" s="60">
        <f t="shared" si="24"/>
        <v>0</v>
      </c>
      <c r="AE72" s="60">
        <f t="shared" si="24"/>
        <v>0</v>
      </c>
      <c r="AF72" s="60">
        <f t="shared" si="24"/>
        <v>0</v>
      </c>
      <c r="AG72" s="61">
        <f>SUM(AG69:AG71)</f>
        <v>106</v>
      </c>
      <c r="AH72" s="47">
        <f t="shared" si="2"/>
        <v>44.199999999999996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2.2999999999999998</v>
      </c>
      <c r="C73" s="45">
        <v>-36.9</v>
      </c>
      <c r="D73" s="45">
        <v>-25.2</v>
      </c>
      <c r="E73" s="45">
        <v>-52</v>
      </c>
      <c r="F73" s="45">
        <v>-52.6</v>
      </c>
      <c r="G73" s="45">
        <v>-36.799999999999997</v>
      </c>
      <c r="H73" s="45">
        <v>-38.799999999999997</v>
      </c>
      <c r="I73" s="45">
        <v>-60.4</v>
      </c>
      <c r="J73" s="45">
        <v>-62.1</v>
      </c>
      <c r="K73" s="45">
        <v>-61.6</v>
      </c>
      <c r="L73" s="45">
        <v>-62.4</v>
      </c>
      <c r="M73" s="45">
        <v>-59.8</v>
      </c>
      <c r="N73" s="45">
        <v>-54</v>
      </c>
      <c r="O73" s="45">
        <v>-44.8</v>
      </c>
      <c r="P73" s="45">
        <v>-33</v>
      </c>
      <c r="Q73" s="45">
        <v>-27.5</v>
      </c>
      <c r="R73" s="45">
        <v>-45</v>
      </c>
      <c r="S73" s="45">
        <v>-19.8</v>
      </c>
      <c r="T73" s="45">
        <v>-49.7</v>
      </c>
      <c r="U73" s="45">
        <v>-33.1</v>
      </c>
      <c r="V73" s="45">
        <v>-52.1</v>
      </c>
      <c r="W73" s="45">
        <v>-52.6</v>
      </c>
      <c r="X73" s="45">
        <v>-54.8</v>
      </c>
      <c r="Y73" s="45">
        <v>-26.5</v>
      </c>
      <c r="Z73" s="45">
        <v>-5.4</v>
      </c>
      <c r="AA73" s="45">
        <v>-5.7</v>
      </c>
      <c r="AB73" s="45">
        <v>6.9</v>
      </c>
      <c r="AC73" s="45">
        <v>6.9</v>
      </c>
      <c r="AD73" s="45">
        <v>7.3</v>
      </c>
      <c r="AE73" s="45">
        <v>6.9</v>
      </c>
      <c r="AF73" s="45">
        <v>6.1</v>
      </c>
      <c r="AG73" s="51"/>
      <c r="AH73" s="47">
        <f t="shared" si="2"/>
        <v>7.3</v>
      </c>
      <c r="AI73" s="48">
        <f t="shared" si="3"/>
        <v>-62.4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-336</v>
      </c>
      <c r="C75" s="64">
        <v>-357</v>
      </c>
      <c r="D75" s="64">
        <v>-362</v>
      </c>
      <c r="E75" s="64">
        <v>-361.1</v>
      </c>
      <c r="F75" s="64">
        <v>-362</v>
      </c>
      <c r="G75" s="64">
        <v>-377.1</v>
      </c>
      <c r="H75" s="64">
        <v>-415</v>
      </c>
      <c r="I75" s="64">
        <v>-434.2</v>
      </c>
      <c r="J75" s="64">
        <v>-437</v>
      </c>
      <c r="K75" s="64">
        <v>-426.7</v>
      </c>
      <c r="L75" s="64">
        <v>-431</v>
      </c>
      <c r="M75" s="64">
        <v>-431</v>
      </c>
      <c r="N75" s="64">
        <v>-398</v>
      </c>
      <c r="O75" s="64">
        <v>-410</v>
      </c>
      <c r="P75" s="64">
        <v>-507</v>
      </c>
      <c r="Q75" s="64">
        <v>-361</v>
      </c>
      <c r="R75" s="64">
        <v>-340</v>
      </c>
      <c r="S75" s="64">
        <v>-353.6</v>
      </c>
      <c r="T75" s="64">
        <v>-411.1</v>
      </c>
      <c r="U75" s="64">
        <v>-428.1</v>
      </c>
      <c r="V75" s="64">
        <v>-455.1</v>
      </c>
      <c r="W75" s="64">
        <v>-440.5</v>
      </c>
      <c r="X75" s="64">
        <v>-395.7</v>
      </c>
      <c r="Y75" s="64">
        <v>-354.5</v>
      </c>
      <c r="Z75" s="64">
        <v>-355.6</v>
      </c>
      <c r="AA75" s="64">
        <v>-367.8</v>
      </c>
      <c r="AB75" s="64">
        <v>-360.9</v>
      </c>
      <c r="AC75" s="64">
        <v>-360.9</v>
      </c>
      <c r="AD75" s="64">
        <v>-320</v>
      </c>
      <c r="AE75" s="64">
        <v>250</v>
      </c>
      <c r="AF75" s="64">
        <v>-341</v>
      </c>
      <c r="AG75" s="74"/>
      <c r="AH75" s="47">
        <f t="shared" si="2"/>
        <v>250</v>
      </c>
      <c r="AI75" s="48">
        <f t="shared" si="3"/>
        <v>-507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>
        <v>0</v>
      </c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75">
        <v>0</v>
      </c>
      <c r="AE76" s="75">
        <v>0</v>
      </c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>
        <v>0</v>
      </c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/>
      <c r="AG77" s="74"/>
      <c r="AH77" s="47">
        <f t="shared" ref="AH77:AH120" si="30">MAX(B77:AF77)</f>
        <v>0</v>
      </c>
      <c r="AI77" s="48">
        <f t="shared" ref="AI77:AI120" si="31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>
        <v>0</v>
      </c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/>
      <c r="AG78" s="74"/>
      <c r="AH78" s="47">
        <f t="shared" si="30"/>
        <v>0</v>
      </c>
      <c r="AI78" s="48">
        <f t="shared" si="31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>
        <v>0</v>
      </c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/>
      <c r="AG79" s="74"/>
      <c r="AH79" s="47">
        <f t="shared" si="30"/>
        <v>0</v>
      </c>
      <c r="AI79" s="48">
        <f t="shared" si="3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>
        <v>0</v>
      </c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/>
      <c r="AG80" s="74"/>
      <c r="AH80" s="47">
        <f t="shared" si="30"/>
        <v>0</v>
      </c>
      <c r="AI80" s="48">
        <f t="shared" si="3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>
        <v>0</v>
      </c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/>
      <c r="AG81" s="74"/>
      <c r="AH81" s="47">
        <f t="shared" si="30"/>
        <v>0</v>
      </c>
      <c r="AI81" s="48">
        <f t="shared" si="3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>
        <v>0</v>
      </c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/>
      <c r="AG82" s="84"/>
      <c r="AH82" s="47">
        <f t="shared" si="30"/>
        <v>0</v>
      </c>
      <c r="AI82" s="48">
        <f t="shared" si="3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>
        <v>0</v>
      </c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/>
      <c r="AG83" s="84"/>
      <c r="AH83" s="47">
        <f t="shared" si="30"/>
        <v>0</v>
      </c>
      <c r="AI83" s="48">
        <f t="shared" si="3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32">SUMIF(B73:B83,"&gt;0")</f>
        <v>2.2999999999999998</v>
      </c>
      <c r="C84" s="60">
        <f t="shared" si="32"/>
        <v>0</v>
      </c>
      <c r="D84" s="60">
        <f t="shared" si="32"/>
        <v>0</v>
      </c>
      <c r="E84" s="60">
        <f t="shared" si="32"/>
        <v>0</v>
      </c>
      <c r="F84" s="60">
        <f t="shared" si="32"/>
        <v>0</v>
      </c>
      <c r="G84" s="60">
        <f t="shared" si="32"/>
        <v>0</v>
      </c>
      <c r="H84" s="60">
        <f t="shared" si="32"/>
        <v>0</v>
      </c>
      <c r="I84" s="60">
        <f t="shared" si="32"/>
        <v>0</v>
      </c>
      <c r="J84" s="60">
        <f t="shared" si="32"/>
        <v>0</v>
      </c>
      <c r="K84" s="60">
        <f t="shared" si="32"/>
        <v>0</v>
      </c>
      <c r="L84" s="60">
        <f t="shared" si="32"/>
        <v>0</v>
      </c>
      <c r="M84" s="60">
        <f t="shared" si="32"/>
        <v>0</v>
      </c>
      <c r="N84" s="60">
        <f t="shared" si="32"/>
        <v>0</v>
      </c>
      <c r="O84" s="60">
        <f t="shared" si="32"/>
        <v>0</v>
      </c>
      <c r="P84" s="60">
        <f t="shared" si="32"/>
        <v>0</v>
      </c>
      <c r="Q84" s="60">
        <f t="shared" si="32"/>
        <v>0</v>
      </c>
      <c r="R84" s="60">
        <f t="shared" si="32"/>
        <v>0</v>
      </c>
      <c r="S84" s="60">
        <f t="shared" ref="S84:T84" si="33">SUMIF(S73:S83,"&gt;0")</f>
        <v>0</v>
      </c>
      <c r="T84" s="60">
        <f t="shared" si="33"/>
        <v>0</v>
      </c>
      <c r="U84" s="60">
        <f t="shared" ref="U84:V84" si="34">SUMIF(U73:U83,"&gt;0")</f>
        <v>0</v>
      </c>
      <c r="V84" s="60">
        <f t="shared" si="34"/>
        <v>0</v>
      </c>
      <c r="W84" s="60">
        <f t="shared" ref="W84:X84" si="35">SUMIF(W73:W83,"&gt;0")</f>
        <v>0</v>
      </c>
      <c r="X84" s="60">
        <f t="shared" si="35"/>
        <v>0</v>
      </c>
      <c r="Y84" s="60">
        <f t="shared" ref="Y84:Z84" si="36">SUMIF(Y73:Y83,"&gt;0")</f>
        <v>0</v>
      </c>
      <c r="Z84" s="60">
        <f t="shared" si="36"/>
        <v>0</v>
      </c>
      <c r="AA84" s="60">
        <f t="shared" ref="AA84" si="37">SUMIF(AA73:AA83,"&gt;0")</f>
        <v>0</v>
      </c>
      <c r="AB84" s="60">
        <f t="shared" si="32"/>
        <v>6.9</v>
      </c>
      <c r="AC84" s="60">
        <f t="shared" si="32"/>
        <v>6.9</v>
      </c>
      <c r="AD84" s="60">
        <f t="shared" si="32"/>
        <v>7.3</v>
      </c>
      <c r="AE84" s="60">
        <f t="shared" si="32"/>
        <v>256.89999999999998</v>
      </c>
      <c r="AF84" s="60">
        <f t="shared" si="32"/>
        <v>6.1</v>
      </c>
      <c r="AG84" s="87">
        <f>SUM(AG73:AG83)</f>
        <v>0</v>
      </c>
      <c r="AH84" s="47">
        <f t="shared" si="30"/>
        <v>256.89999999999998</v>
      </c>
      <c r="AI84" s="48">
        <f t="shared" si="31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30"/>
        <v>0</v>
      </c>
      <c r="AI85" s="48">
        <f t="shared" si="31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30"/>
        <v>0</v>
      </c>
      <c r="AI86" s="48">
        <f t="shared" si="3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30"/>
        <v>0</v>
      </c>
      <c r="AI87" s="48">
        <f t="shared" si="3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30"/>
        <v>0</v>
      </c>
      <c r="AI88" s="48">
        <f t="shared" si="31"/>
        <v>0</v>
      </c>
    </row>
    <row r="89" spans="1:40" ht="15.75" thickBot="1" x14ac:dyDescent="0.3">
      <c r="A89" s="73" t="s">
        <v>100</v>
      </c>
      <c r="B89" s="94">
        <f t="shared" ref="B89:AG89" si="38">B50+B54+B72+B68+B84+B88</f>
        <v>2098.5400000000004</v>
      </c>
      <c r="C89" s="94">
        <f t="shared" si="38"/>
        <v>2069.7400000000002</v>
      </c>
      <c r="D89" s="94">
        <f t="shared" si="38"/>
        <v>2070.7399999999998</v>
      </c>
      <c r="E89" s="94">
        <f t="shared" si="38"/>
        <v>2070.7399999999998</v>
      </c>
      <c r="F89" s="94">
        <f t="shared" si="38"/>
        <v>2065.54</v>
      </c>
      <c r="G89" s="94">
        <f t="shared" si="38"/>
        <v>2102.04</v>
      </c>
      <c r="H89" s="94">
        <f t="shared" si="38"/>
        <v>2099.1400000000003</v>
      </c>
      <c r="I89" s="94">
        <f t="shared" si="38"/>
        <v>2113.54</v>
      </c>
      <c r="J89" s="94">
        <f t="shared" si="38"/>
        <v>2119.54</v>
      </c>
      <c r="K89" s="94">
        <f t="shared" si="38"/>
        <v>2118.34</v>
      </c>
      <c r="L89" s="94">
        <f t="shared" si="38"/>
        <v>2150.34</v>
      </c>
      <c r="M89" s="94">
        <f t="shared" si="38"/>
        <v>2154.54</v>
      </c>
      <c r="N89" s="94">
        <f t="shared" si="38"/>
        <v>2154.54</v>
      </c>
      <c r="O89" s="94">
        <f t="shared" si="38"/>
        <v>2173.64</v>
      </c>
      <c r="P89" s="94">
        <f t="shared" si="38"/>
        <v>2175.84</v>
      </c>
      <c r="Q89" s="94">
        <f t="shared" si="38"/>
        <v>2179.7399999999998</v>
      </c>
      <c r="R89" s="94">
        <f t="shared" si="38"/>
        <v>2168.7399999999998</v>
      </c>
      <c r="S89" s="94">
        <f t="shared" ref="S89:T89" si="39">S50+S54+S72+S68+S84+S88</f>
        <v>2159.64</v>
      </c>
      <c r="T89" s="94">
        <f t="shared" si="39"/>
        <v>2170.84</v>
      </c>
      <c r="U89" s="94">
        <f t="shared" ref="U89:V89" si="40">U50+U54+U72+U68+U84+U88</f>
        <v>2175.34</v>
      </c>
      <c r="V89" s="94">
        <f t="shared" si="40"/>
        <v>2176.34</v>
      </c>
      <c r="W89" s="94">
        <f t="shared" ref="W89:X89" si="41">W50+W54+W72+W68+W84+W88</f>
        <v>2153.2399999999998</v>
      </c>
      <c r="X89" s="94">
        <f t="shared" si="41"/>
        <v>2115.44</v>
      </c>
      <c r="Y89" s="94">
        <f t="shared" ref="Y89:Z89" si="42">Y50+Y54+Y72+Y68+Y84+Y88</f>
        <v>2188.94</v>
      </c>
      <c r="Z89" s="94">
        <f t="shared" si="42"/>
        <v>2215.2399999999998</v>
      </c>
      <c r="AA89" s="94">
        <f t="shared" ref="AA89" si="43">AA50+AA54+AA72+AA68+AA84+AA88</f>
        <v>2215.2399999999998</v>
      </c>
      <c r="AB89" s="94">
        <f t="shared" si="38"/>
        <v>2203.14</v>
      </c>
      <c r="AC89" s="94">
        <f t="shared" si="38"/>
        <v>2177.94</v>
      </c>
      <c r="AD89" s="94">
        <f t="shared" si="38"/>
        <v>2130.1400000000003</v>
      </c>
      <c r="AE89" s="94">
        <f t="shared" si="38"/>
        <v>1805.94</v>
      </c>
      <c r="AF89" s="94">
        <f t="shared" si="38"/>
        <v>1555.1399999999999</v>
      </c>
      <c r="AG89" s="61">
        <f t="shared" si="38"/>
        <v>2111.5500000000002</v>
      </c>
      <c r="AH89" s="47">
        <f t="shared" si="30"/>
        <v>2215.2399999999998</v>
      </c>
      <c r="AI89" s="48">
        <f t="shared" si="31"/>
        <v>1555.1399999999999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>
        <v>55</v>
      </c>
      <c r="AF90" s="96"/>
      <c r="AG90" s="87"/>
      <c r="AH90" s="47">
        <f t="shared" si="30"/>
        <v>55</v>
      </c>
      <c r="AI90" s="48">
        <f t="shared" si="31"/>
        <v>55</v>
      </c>
    </row>
    <row r="91" spans="1:40" ht="15.75" thickBot="1" x14ac:dyDescent="0.3">
      <c r="A91" s="73" t="s">
        <v>102</v>
      </c>
      <c r="B91" s="94">
        <f t="shared" ref="B91:AF91" si="44">B89+B90</f>
        <v>2098.5400000000004</v>
      </c>
      <c r="C91" s="94">
        <f t="shared" si="44"/>
        <v>2069.7400000000002</v>
      </c>
      <c r="D91" s="94">
        <f t="shared" si="44"/>
        <v>2070.7399999999998</v>
      </c>
      <c r="E91" s="94">
        <f t="shared" si="44"/>
        <v>2070.7399999999998</v>
      </c>
      <c r="F91" s="94">
        <f t="shared" si="44"/>
        <v>2065.54</v>
      </c>
      <c r="G91" s="94">
        <f t="shared" si="44"/>
        <v>2102.04</v>
      </c>
      <c r="H91" s="94">
        <f t="shared" si="44"/>
        <v>2099.1400000000003</v>
      </c>
      <c r="I91" s="94">
        <f t="shared" si="44"/>
        <v>2113.54</v>
      </c>
      <c r="J91" s="94">
        <f t="shared" si="44"/>
        <v>2119.54</v>
      </c>
      <c r="K91" s="94">
        <f t="shared" si="44"/>
        <v>2118.34</v>
      </c>
      <c r="L91" s="94">
        <f t="shared" si="44"/>
        <v>2150.34</v>
      </c>
      <c r="M91" s="94">
        <f t="shared" si="44"/>
        <v>2154.54</v>
      </c>
      <c r="N91" s="94">
        <f t="shared" si="44"/>
        <v>2154.54</v>
      </c>
      <c r="O91" s="94">
        <f t="shared" si="44"/>
        <v>2173.64</v>
      </c>
      <c r="P91" s="94">
        <f t="shared" si="44"/>
        <v>2175.84</v>
      </c>
      <c r="Q91" s="94">
        <f t="shared" si="44"/>
        <v>2179.7399999999998</v>
      </c>
      <c r="R91" s="94">
        <f t="shared" si="44"/>
        <v>2168.7399999999998</v>
      </c>
      <c r="S91" s="94">
        <f t="shared" ref="S91:T91" si="45">S89+S90</f>
        <v>2159.64</v>
      </c>
      <c r="T91" s="94">
        <f t="shared" si="45"/>
        <v>2170.84</v>
      </c>
      <c r="U91" s="94">
        <f t="shared" ref="U91:V91" si="46">U89+U90</f>
        <v>2175.34</v>
      </c>
      <c r="V91" s="94">
        <f t="shared" si="46"/>
        <v>2176.34</v>
      </c>
      <c r="W91" s="94">
        <f t="shared" ref="W91:X91" si="47">W89+W90</f>
        <v>2153.2399999999998</v>
      </c>
      <c r="X91" s="94">
        <f t="shared" si="47"/>
        <v>2115.44</v>
      </c>
      <c r="Y91" s="94">
        <f t="shared" ref="Y91:Z91" si="48">Y89+Y90</f>
        <v>2188.94</v>
      </c>
      <c r="Z91" s="94">
        <f t="shared" si="48"/>
        <v>2215.2399999999998</v>
      </c>
      <c r="AA91" s="94">
        <f t="shared" ref="AA91" si="49">AA89+AA90</f>
        <v>2215.2399999999998</v>
      </c>
      <c r="AB91" s="94">
        <f t="shared" si="44"/>
        <v>2203.14</v>
      </c>
      <c r="AC91" s="94">
        <f t="shared" si="44"/>
        <v>2177.94</v>
      </c>
      <c r="AD91" s="94">
        <f t="shared" si="44"/>
        <v>2130.1400000000003</v>
      </c>
      <c r="AE91" s="94">
        <f t="shared" si="44"/>
        <v>1860.94</v>
      </c>
      <c r="AF91" s="94">
        <f t="shared" si="44"/>
        <v>1555.1399999999999</v>
      </c>
      <c r="AG91" s="87">
        <f>AG88+AG84+AG72+AG68+AG50+AG90</f>
        <v>1573.45</v>
      </c>
      <c r="AH91" s="47">
        <f t="shared" si="30"/>
        <v>2215.2399999999998</v>
      </c>
      <c r="AI91" s="48">
        <f t="shared" si="31"/>
        <v>1555.1399999999999</v>
      </c>
    </row>
    <row r="92" spans="1:40" ht="15.75" thickBot="1" x14ac:dyDescent="0.3">
      <c r="A92" s="73" t="s">
        <v>103</v>
      </c>
      <c r="B92" s="94">
        <f>B91-(-B99)</f>
        <v>1762.5400000000004</v>
      </c>
      <c r="C92" s="94">
        <f t="shared" ref="C92:AF92" si="50">C91-(-C99)</f>
        <v>1712.7400000000002</v>
      </c>
      <c r="D92" s="94">
        <f t="shared" si="50"/>
        <v>1708.7399999999998</v>
      </c>
      <c r="E92" s="94">
        <f t="shared" si="50"/>
        <v>1709.6399999999999</v>
      </c>
      <c r="F92" s="94">
        <f t="shared" si="50"/>
        <v>1703.54</v>
      </c>
      <c r="G92" s="94">
        <f t="shared" si="50"/>
        <v>1724.94</v>
      </c>
      <c r="H92" s="94">
        <f t="shared" si="50"/>
        <v>1684.1400000000003</v>
      </c>
      <c r="I92" s="94">
        <f t="shared" si="50"/>
        <v>1679.34</v>
      </c>
      <c r="J92" s="94">
        <f t="shared" si="50"/>
        <v>1682.54</v>
      </c>
      <c r="K92" s="94">
        <f t="shared" si="50"/>
        <v>1691.64</v>
      </c>
      <c r="L92" s="94">
        <f t="shared" si="50"/>
        <v>1719.3400000000001</v>
      </c>
      <c r="M92" s="94">
        <f t="shared" si="50"/>
        <v>1723.54</v>
      </c>
      <c r="N92" s="94">
        <f t="shared" si="50"/>
        <v>1756.54</v>
      </c>
      <c r="O92" s="94">
        <f t="shared" si="50"/>
        <v>1763.6399999999999</v>
      </c>
      <c r="P92" s="94">
        <f t="shared" si="50"/>
        <v>1668.8400000000001</v>
      </c>
      <c r="Q92" s="94">
        <f t="shared" si="50"/>
        <v>1818.7399999999998</v>
      </c>
      <c r="R92" s="94">
        <f t="shared" si="50"/>
        <v>1828.7399999999998</v>
      </c>
      <c r="S92" s="94">
        <f t="shared" ref="S92:T92" si="51">S91-(-S99)</f>
        <v>1806.04</v>
      </c>
      <c r="T92" s="94">
        <f t="shared" si="51"/>
        <v>1759.7400000000002</v>
      </c>
      <c r="U92" s="94">
        <f t="shared" ref="U92:V92" si="52">U91-(-U99)</f>
        <v>1747.2400000000002</v>
      </c>
      <c r="V92" s="94">
        <f t="shared" si="52"/>
        <v>1721.2400000000002</v>
      </c>
      <c r="W92" s="94">
        <f t="shared" ref="W92:X92" si="53">W91-(-W99)</f>
        <v>1712.7399999999998</v>
      </c>
      <c r="X92" s="94">
        <f t="shared" si="53"/>
        <v>1719.74</v>
      </c>
      <c r="Y92" s="94">
        <f t="shared" ref="Y92:Z92" si="54">Y91-(-Y99)</f>
        <v>1834.44</v>
      </c>
      <c r="Z92" s="94">
        <f t="shared" si="54"/>
        <v>1859.6399999999999</v>
      </c>
      <c r="AA92" s="94">
        <f t="shared" ref="AA92" si="55">AA91-(-AA99)</f>
        <v>1847.4399999999998</v>
      </c>
      <c r="AB92" s="94">
        <f t="shared" si="50"/>
        <v>1842.2399999999998</v>
      </c>
      <c r="AC92" s="94">
        <f t="shared" si="50"/>
        <v>1817.04</v>
      </c>
      <c r="AD92" s="94">
        <f t="shared" si="50"/>
        <v>1810.1400000000003</v>
      </c>
      <c r="AE92" s="94">
        <f t="shared" si="50"/>
        <v>2110.94</v>
      </c>
      <c r="AF92" s="94">
        <f t="shared" si="50"/>
        <v>1214.1399999999999</v>
      </c>
      <c r="AG92" s="87"/>
      <c r="AH92" s="47">
        <f t="shared" si="30"/>
        <v>2110.94</v>
      </c>
      <c r="AI92" s="48">
        <f t="shared" si="31"/>
        <v>1214.1399999999999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30"/>
        <v>0</v>
      </c>
      <c r="AI93" s="48">
        <f t="shared" si="3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30"/>
        <v>0</v>
      </c>
      <c r="AI94" s="48">
        <f t="shared" si="3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30"/>
        <v>0</v>
      </c>
      <c r="AI95" s="48">
        <f t="shared" si="3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30"/>
        <v>0</v>
      </c>
      <c r="AI96" s="48">
        <f t="shared" si="3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30"/>
        <v>0</v>
      </c>
      <c r="AI97" s="48">
        <f t="shared" si="3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30"/>
        <v>0</v>
      </c>
      <c r="AI98" s="48">
        <f t="shared" si="31"/>
        <v>0</v>
      </c>
    </row>
    <row r="99" spans="1:37" ht="15.75" thickBot="1" x14ac:dyDescent="0.3">
      <c r="A99" s="98" t="s">
        <v>107</v>
      </c>
      <c r="B99" s="60">
        <f>B75</f>
        <v>-336</v>
      </c>
      <c r="C99" s="60">
        <f t="shared" ref="C99:AF99" si="56">C75</f>
        <v>-357</v>
      </c>
      <c r="D99" s="60">
        <f t="shared" si="56"/>
        <v>-362</v>
      </c>
      <c r="E99" s="60">
        <f t="shared" si="56"/>
        <v>-361.1</v>
      </c>
      <c r="F99" s="60">
        <f t="shared" si="56"/>
        <v>-362</v>
      </c>
      <c r="G99" s="60">
        <f t="shared" si="56"/>
        <v>-377.1</v>
      </c>
      <c r="H99" s="60">
        <f t="shared" si="56"/>
        <v>-415</v>
      </c>
      <c r="I99" s="60">
        <f t="shared" si="56"/>
        <v>-434.2</v>
      </c>
      <c r="J99" s="60">
        <f t="shared" si="56"/>
        <v>-437</v>
      </c>
      <c r="K99" s="60">
        <f t="shared" si="56"/>
        <v>-426.7</v>
      </c>
      <c r="L99" s="60">
        <f t="shared" si="56"/>
        <v>-431</v>
      </c>
      <c r="M99" s="60">
        <f t="shared" si="56"/>
        <v>-431</v>
      </c>
      <c r="N99" s="60">
        <f t="shared" si="56"/>
        <v>-398</v>
      </c>
      <c r="O99" s="60">
        <f t="shared" si="56"/>
        <v>-410</v>
      </c>
      <c r="P99" s="60">
        <f t="shared" si="56"/>
        <v>-507</v>
      </c>
      <c r="Q99" s="60">
        <f t="shared" si="56"/>
        <v>-361</v>
      </c>
      <c r="R99" s="60">
        <f t="shared" si="56"/>
        <v>-340</v>
      </c>
      <c r="S99" s="60">
        <f t="shared" ref="S99:T99" si="57">S75</f>
        <v>-353.6</v>
      </c>
      <c r="T99" s="60">
        <f t="shared" si="57"/>
        <v>-411.1</v>
      </c>
      <c r="U99" s="60">
        <f t="shared" ref="U99:V99" si="58">U75</f>
        <v>-428.1</v>
      </c>
      <c r="V99" s="60">
        <f t="shared" si="58"/>
        <v>-455.1</v>
      </c>
      <c r="W99" s="60">
        <f t="shared" ref="W99:X99" si="59">W75</f>
        <v>-440.5</v>
      </c>
      <c r="X99" s="60">
        <f t="shared" si="59"/>
        <v>-395.7</v>
      </c>
      <c r="Y99" s="60">
        <f t="shared" ref="Y99:Z99" si="60">Y75</f>
        <v>-354.5</v>
      </c>
      <c r="Z99" s="60">
        <f t="shared" si="60"/>
        <v>-355.6</v>
      </c>
      <c r="AA99" s="60">
        <f t="shared" ref="AA99" si="61">AA75</f>
        <v>-367.8</v>
      </c>
      <c r="AB99" s="60">
        <f t="shared" si="56"/>
        <v>-360.9</v>
      </c>
      <c r="AC99" s="60">
        <f t="shared" si="56"/>
        <v>-360.9</v>
      </c>
      <c r="AD99" s="60">
        <f t="shared" si="56"/>
        <v>-320</v>
      </c>
      <c r="AE99" s="60">
        <f t="shared" si="56"/>
        <v>250</v>
      </c>
      <c r="AF99" s="60">
        <f t="shared" si="56"/>
        <v>-341</v>
      </c>
      <c r="AG99" s="87"/>
      <c r="AH99" s="47">
        <f t="shared" si="30"/>
        <v>250</v>
      </c>
      <c r="AI99" s="48">
        <f t="shared" si="31"/>
        <v>-507</v>
      </c>
      <c r="AK99" s="50"/>
    </row>
    <row r="100" spans="1:37" ht="15.75" thickBot="1" x14ac:dyDescent="0.3">
      <c r="A100" s="73" t="s">
        <v>108</v>
      </c>
      <c r="B100" s="60">
        <f t="shared" ref="B100:AF100" si="62">B84-B99</f>
        <v>338.3</v>
      </c>
      <c r="C100" s="60">
        <f t="shared" si="62"/>
        <v>357</v>
      </c>
      <c r="D100" s="60">
        <f t="shared" si="62"/>
        <v>362</v>
      </c>
      <c r="E100" s="60">
        <f t="shared" si="62"/>
        <v>361.1</v>
      </c>
      <c r="F100" s="60">
        <f t="shared" si="62"/>
        <v>362</v>
      </c>
      <c r="G100" s="60">
        <f t="shared" si="62"/>
        <v>377.1</v>
      </c>
      <c r="H100" s="60">
        <f t="shared" si="62"/>
        <v>415</v>
      </c>
      <c r="I100" s="60">
        <f t="shared" si="62"/>
        <v>434.2</v>
      </c>
      <c r="J100" s="60">
        <f t="shared" si="62"/>
        <v>437</v>
      </c>
      <c r="K100" s="60">
        <f t="shared" si="62"/>
        <v>426.7</v>
      </c>
      <c r="L100" s="60">
        <f t="shared" si="62"/>
        <v>431</v>
      </c>
      <c r="M100" s="60">
        <f t="shared" si="62"/>
        <v>431</v>
      </c>
      <c r="N100" s="60">
        <f t="shared" si="62"/>
        <v>398</v>
      </c>
      <c r="O100" s="60">
        <f t="shared" si="62"/>
        <v>410</v>
      </c>
      <c r="P100" s="60">
        <f t="shared" si="62"/>
        <v>507</v>
      </c>
      <c r="Q100" s="60">
        <f t="shared" si="62"/>
        <v>361</v>
      </c>
      <c r="R100" s="60">
        <f t="shared" si="62"/>
        <v>340</v>
      </c>
      <c r="S100" s="60">
        <f t="shared" ref="S100:T100" si="63">S84-S99</f>
        <v>353.6</v>
      </c>
      <c r="T100" s="60">
        <f t="shared" si="63"/>
        <v>411.1</v>
      </c>
      <c r="U100" s="60">
        <f t="shared" ref="U100:V100" si="64">U84-U99</f>
        <v>428.1</v>
      </c>
      <c r="V100" s="60">
        <f t="shared" si="64"/>
        <v>455.1</v>
      </c>
      <c r="W100" s="60">
        <f t="shared" ref="W100:X100" si="65">W84-W99</f>
        <v>440.5</v>
      </c>
      <c r="X100" s="60">
        <f t="shared" si="65"/>
        <v>395.7</v>
      </c>
      <c r="Y100" s="60">
        <f t="shared" ref="Y100:Z100" si="66">Y84-Y99</f>
        <v>354.5</v>
      </c>
      <c r="Z100" s="60">
        <f t="shared" si="66"/>
        <v>355.6</v>
      </c>
      <c r="AA100" s="60">
        <f t="shared" ref="AA100" si="67">AA84-AA99</f>
        <v>367.8</v>
      </c>
      <c r="AB100" s="60">
        <f t="shared" si="62"/>
        <v>367.79999999999995</v>
      </c>
      <c r="AC100" s="60">
        <f t="shared" si="62"/>
        <v>367.79999999999995</v>
      </c>
      <c r="AD100" s="60">
        <f t="shared" si="62"/>
        <v>327.3</v>
      </c>
      <c r="AE100" s="60">
        <f t="shared" si="62"/>
        <v>6.8999999999999773</v>
      </c>
      <c r="AF100" s="60">
        <f t="shared" si="62"/>
        <v>347.1</v>
      </c>
      <c r="AG100" s="87"/>
      <c r="AH100" s="47">
        <f t="shared" si="30"/>
        <v>507</v>
      </c>
      <c r="AI100" s="48">
        <f t="shared" si="31"/>
        <v>6.8999999999999773</v>
      </c>
    </row>
    <row r="101" spans="1:37" x14ac:dyDescent="0.25">
      <c r="A101" s="99" t="s">
        <v>109</v>
      </c>
      <c r="B101" s="100">
        <v>49.997</v>
      </c>
      <c r="C101" s="100">
        <v>49.951000000000001</v>
      </c>
      <c r="D101" s="100">
        <v>50.000999999999998</v>
      </c>
      <c r="E101" s="100">
        <v>50.033999999999999</v>
      </c>
      <c r="F101" s="100">
        <v>50.033999999999999</v>
      </c>
      <c r="G101" s="100">
        <v>49.98</v>
      </c>
      <c r="H101" s="100">
        <v>49.884</v>
      </c>
      <c r="I101" s="100">
        <v>49.98</v>
      </c>
      <c r="J101" s="100">
        <v>49.886000000000003</v>
      </c>
      <c r="K101" s="100">
        <v>50.006999999999998</v>
      </c>
      <c r="L101" s="100">
        <v>49.887</v>
      </c>
      <c r="M101" s="100">
        <v>50.097000000000001</v>
      </c>
      <c r="N101" s="100">
        <v>50.08</v>
      </c>
      <c r="O101" s="100">
        <v>49.94</v>
      </c>
      <c r="P101" s="100">
        <v>50.026000000000003</v>
      </c>
      <c r="Q101" s="100">
        <v>49.869</v>
      </c>
      <c r="R101" s="100">
        <v>50</v>
      </c>
      <c r="S101" s="100">
        <v>49.97</v>
      </c>
      <c r="T101" s="100">
        <v>49.91</v>
      </c>
      <c r="U101" s="100">
        <v>49.97</v>
      </c>
      <c r="V101" s="100">
        <v>50</v>
      </c>
      <c r="W101" s="100">
        <v>50.04</v>
      </c>
      <c r="X101" s="100">
        <v>50.015999999999998</v>
      </c>
      <c r="Y101" s="100">
        <v>49.96</v>
      </c>
      <c r="Z101" s="100">
        <v>49.935000000000002</v>
      </c>
      <c r="AA101" s="100">
        <v>50.015999999999998</v>
      </c>
      <c r="AB101" s="100">
        <v>50.027000000000001</v>
      </c>
      <c r="AC101" s="100">
        <v>49.896000000000001</v>
      </c>
      <c r="AD101" s="100">
        <v>49.862000000000002</v>
      </c>
      <c r="AE101" s="100">
        <v>49.862000000000002</v>
      </c>
      <c r="AF101" s="100">
        <v>49.889000000000003</v>
      </c>
      <c r="AG101" s="101"/>
      <c r="AH101" s="47">
        <f t="shared" si="30"/>
        <v>50.097000000000001</v>
      </c>
      <c r="AI101" s="48">
        <f t="shared" si="31"/>
        <v>49.862000000000002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30"/>
        <v>0</v>
      </c>
      <c r="AI102" s="48">
        <f t="shared" si="31"/>
        <v>0</v>
      </c>
    </row>
    <row r="103" spans="1:37" x14ac:dyDescent="0.25">
      <c r="A103" s="102" t="s">
        <v>111</v>
      </c>
      <c r="B103" s="64">
        <v>128.30000000000001</v>
      </c>
      <c r="C103" s="64">
        <v>130.19999999999999</v>
      </c>
      <c r="D103" s="64">
        <v>129.4</v>
      </c>
      <c r="E103" s="64">
        <v>129.5</v>
      </c>
      <c r="F103" s="64">
        <v>129.69999999999999</v>
      </c>
      <c r="G103" s="64">
        <v>128.6</v>
      </c>
      <c r="H103" s="64">
        <v>129.4</v>
      </c>
      <c r="I103" s="64">
        <v>126.8</v>
      </c>
      <c r="J103" s="64">
        <v>126.6</v>
      </c>
      <c r="K103" s="64">
        <v>127</v>
      </c>
      <c r="L103" s="64">
        <v>123</v>
      </c>
      <c r="M103" s="64">
        <v>123.9</v>
      </c>
      <c r="N103" s="64">
        <v>125.4</v>
      </c>
      <c r="O103" s="64">
        <v>124</v>
      </c>
      <c r="P103" s="64">
        <v>126</v>
      </c>
      <c r="Q103" s="64">
        <v>124.6</v>
      </c>
      <c r="R103" s="64">
        <v>124.6</v>
      </c>
      <c r="S103" s="64">
        <v>125.7</v>
      </c>
      <c r="T103" s="64">
        <v>125.7</v>
      </c>
      <c r="U103" s="64">
        <v>126.7</v>
      </c>
      <c r="V103" s="64">
        <v>127</v>
      </c>
      <c r="W103" s="64">
        <v>126.6</v>
      </c>
      <c r="X103" s="64">
        <v>128.5</v>
      </c>
      <c r="Y103" s="64">
        <v>124.9</v>
      </c>
      <c r="Z103" s="64">
        <v>125.7</v>
      </c>
      <c r="AA103" s="64">
        <v>127.5</v>
      </c>
      <c r="AB103" s="64">
        <v>128.1</v>
      </c>
      <c r="AC103" s="64">
        <v>127.2</v>
      </c>
      <c r="AD103" s="64">
        <v>127.3</v>
      </c>
      <c r="AE103" s="64">
        <v>127.3</v>
      </c>
      <c r="AF103" s="64">
        <v>127.1</v>
      </c>
      <c r="AG103" s="103"/>
      <c r="AH103" s="47">
        <f t="shared" si="30"/>
        <v>130.19999999999999</v>
      </c>
      <c r="AI103" s="48">
        <f t="shared" si="31"/>
        <v>123</v>
      </c>
    </row>
    <row r="104" spans="1:37" x14ac:dyDescent="0.25">
      <c r="A104" s="102" t="s">
        <v>112</v>
      </c>
      <c r="B104" s="64">
        <v>127.8</v>
      </c>
      <c r="C104" s="64">
        <v>130</v>
      </c>
      <c r="D104" s="64">
        <v>128.5</v>
      </c>
      <c r="E104" s="64">
        <v>128.1</v>
      </c>
      <c r="F104" s="64">
        <v>129.4</v>
      </c>
      <c r="G104" s="64">
        <v>128.30000000000001</v>
      </c>
      <c r="H104" s="64">
        <v>129.69999999999999</v>
      </c>
      <c r="I104" s="64">
        <v>129.4</v>
      </c>
      <c r="J104" s="64">
        <v>127.3</v>
      </c>
      <c r="K104" s="64">
        <v>126.9</v>
      </c>
      <c r="L104" s="64">
        <v>127.1</v>
      </c>
      <c r="M104" s="64">
        <v>126.9</v>
      </c>
      <c r="N104" s="64">
        <v>126</v>
      </c>
      <c r="O104" s="64">
        <v>125.7</v>
      </c>
      <c r="P104" s="64">
        <v>123.9</v>
      </c>
      <c r="Q104" s="64">
        <v>127.7</v>
      </c>
      <c r="R104" s="64">
        <v>127.7</v>
      </c>
      <c r="S104" s="64">
        <v>124.9</v>
      </c>
      <c r="T104" s="64">
        <v>124.9</v>
      </c>
      <c r="U104" s="64">
        <v>126.3</v>
      </c>
      <c r="V104" s="64">
        <v>130.5</v>
      </c>
      <c r="W104" s="64">
        <v>128.6</v>
      </c>
      <c r="X104" s="64">
        <v>128.9</v>
      </c>
      <c r="Y104" s="64">
        <v>125.9</v>
      </c>
      <c r="Z104" s="64">
        <v>126.5</v>
      </c>
      <c r="AA104" s="64">
        <v>126.8</v>
      </c>
      <c r="AB104" s="64">
        <v>123.3</v>
      </c>
      <c r="AC104" s="64">
        <v>123.4</v>
      </c>
      <c r="AD104" s="64">
        <v>126.5</v>
      </c>
      <c r="AE104" s="64">
        <v>126.5</v>
      </c>
      <c r="AF104" s="64">
        <v>127.5</v>
      </c>
      <c r="AG104" s="103"/>
      <c r="AH104" s="47">
        <f t="shared" si="30"/>
        <v>130.5</v>
      </c>
      <c r="AI104" s="48">
        <f t="shared" si="31"/>
        <v>123.3</v>
      </c>
    </row>
    <row r="105" spans="1:37" x14ac:dyDescent="0.25">
      <c r="A105" s="104" t="s">
        <v>113</v>
      </c>
      <c r="B105" s="64">
        <v>131.1</v>
      </c>
      <c r="C105" s="64">
        <v>132.5</v>
      </c>
      <c r="D105" s="64">
        <v>131.69999999999999</v>
      </c>
      <c r="E105" s="64">
        <v>129.9</v>
      </c>
      <c r="F105" s="64">
        <v>131.1</v>
      </c>
      <c r="G105" s="64">
        <v>130.9</v>
      </c>
      <c r="H105" s="64">
        <v>131.6</v>
      </c>
      <c r="I105" s="64">
        <v>131.19999999999999</v>
      </c>
      <c r="J105" s="64">
        <v>130.19999999999999</v>
      </c>
      <c r="K105" s="64">
        <v>130</v>
      </c>
      <c r="L105" s="64">
        <v>129.80000000000001</v>
      </c>
      <c r="M105" s="64">
        <v>128.4</v>
      </c>
      <c r="N105" s="64">
        <v>127.8</v>
      </c>
      <c r="O105" s="64">
        <v>127</v>
      </c>
      <c r="P105" s="64">
        <v>125.2</v>
      </c>
      <c r="Q105" s="64">
        <v>129</v>
      </c>
      <c r="R105" s="64">
        <v>129</v>
      </c>
      <c r="S105" s="64">
        <v>125.6</v>
      </c>
      <c r="T105" s="64">
        <v>125.6</v>
      </c>
      <c r="U105" s="64">
        <v>129</v>
      </c>
      <c r="V105" s="64">
        <v>133.6</v>
      </c>
      <c r="W105" s="64">
        <v>132.30000000000001</v>
      </c>
      <c r="X105" s="64">
        <v>130.69999999999999</v>
      </c>
      <c r="Y105" s="64">
        <v>128.9</v>
      </c>
      <c r="Z105" s="64">
        <v>129.19999999999999</v>
      </c>
      <c r="AA105" s="64">
        <v>129.9</v>
      </c>
      <c r="AB105" s="64">
        <v>127</v>
      </c>
      <c r="AC105" s="64">
        <v>127.5</v>
      </c>
      <c r="AD105" s="64">
        <v>130.1</v>
      </c>
      <c r="AE105" s="64">
        <v>130.1</v>
      </c>
      <c r="AF105" s="64">
        <v>131.30000000000001</v>
      </c>
      <c r="AG105" s="103"/>
      <c r="AH105" s="47">
        <f t="shared" si="30"/>
        <v>133.6</v>
      </c>
      <c r="AI105" s="48">
        <f t="shared" si="31"/>
        <v>125.2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30"/>
        <v>0</v>
      </c>
      <c r="AI106" s="48">
        <f t="shared" si="31"/>
        <v>0</v>
      </c>
    </row>
    <row r="107" spans="1:37" x14ac:dyDescent="0.25">
      <c r="A107" s="102" t="s">
        <v>115</v>
      </c>
      <c r="B107" s="64">
        <v>133.69999999999999</v>
      </c>
      <c r="C107" s="64">
        <v>132.1</v>
      </c>
      <c r="D107" s="64">
        <v>134</v>
      </c>
      <c r="E107" s="64">
        <v>126.9</v>
      </c>
      <c r="F107" s="64">
        <v>128.69999999999999</v>
      </c>
      <c r="G107" s="64">
        <v>134.9</v>
      </c>
      <c r="H107" s="64">
        <v>133.6</v>
      </c>
      <c r="I107" s="64">
        <v>130.1</v>
      </c>
      <c r="J107" s="64">
        <v>132.9</v>
      </c>
      <c r="K107" s="64">
        <v>131.4</v>
      </c>
      <c r="L107" s="64">
        <v>128.69999999999999</v>
      </c>
      <c r="M107" s="64">
        <v>130.9</v>
      </c>
      <c r="N107" s="64">
        <v>133.4</v>
      </c>
      <c r="O107" s="64">
        <v>139</v>
      </c>
      <c r="P107" s="64">
        <v>135.1</v>
      </c>
      <c r="Q107" s="64">
        <v>133.80000000000001</v>
      </c>
      <c r="R107" s="64">
        <v>133.80000000000001</v>
      </c>
      <c r="S107" s="64">
        <v>133.30000000000001</v>
      </c>
      <c r="T107" s="64">
        <v>133.30000000000001</v>
      </c>
      <c r="U107" s="64">
        <v>133</v>
      </c>
      <c r="V107" s="64">
        <v>135.4</v>
      </c>
      <c r="W107" s="64">
        <v>130.5</v>
      </c>
      <c r="X107" s="64">
        <v>131.1</v>
      </c>
      <c r="Y107" s="64">
        <v>128.80000000000001</v>
      </c>
      <c r="Z107" s="64">
        <v>128.80000000000001</v>
      </c>
      <c r="AA107" s="64">
        <v>127.3</v>
      </c>
      <c r="AB107" s="64">
        <v>129.69999999999999</v>
      </c>
      <c r="AC107" s="64">
        <v>128.9</v>
      </c>
      <c r="AD107" s="64">
        <v>127.7</v>
      </c>
      <c r="AE107" s="64">
        <v>127.7</v>
      </c>
      <c r="AF107" s="64">
        <v>129.9</v>
      </c>
      <c r="AG107" s="103"/>
      <c r="AH107" s="47">
        <f t="shared" si="30"/>
        <v>139</v>
      </c>
      <c r="AI107" s="48">
        <f t="shared" si="31"/>
        <v>126.9</v>
      </c>
    </row>
    <row r="108" spans="1:37" ht="15.75" thickBot="1" x14ac:dyDescent="0.3">
      <c r="A108" s="102" t="s">
        <v>116</v>
      </c>
      <c r="B108" s="91">
        <v>64.599999999999994</v>
      </c>
      <c r="C108" s="91">
        <v>65.599999999999994</v>
      </c>
      <c r="D108" s="91">
        <v>65.099999999999994</v>
      </c>
      <c r="E108" s="91">
        <v>65.2</v>
      </c>
      <c r="F108" s="91">
        <v>65.3</v>
      </c>
      <c r="G108" s="91">
        <v>64.7</v>
      </c>
      <c r="H108" s="91">
        <v>64.900000000000006</v>
      </c>
      <c r="I108" s="91">
        <v>64</v>
      </c>
      <c r="J108" s="91">
        <v>63.7</v>
      </c>
      <c r="K108" s="91">
        <v>63.9</v>
      </c>
      <c r="L108" s="91">
        <v>62.2</v>
      </c>
      <c r="M108" s="91">
        <v>61.8</v>
      </c>
      <c r="N108" s="91">
        <v>63.1</v>
      </c>
      <c r="O108" s="91">
        <v>61.7</v>
      </c>
      <c r="P108" s="91">
        <v>63</v>
      </c>
      <c r="Q108" s="91">
        <v>62.2</v>
      </c>
      <c r="R108" s="91">
        <v>63.3</v>
      </c>
      <c r="S108" s="91">
        <v>63</v>
      </c>
      <c r="T108" s="91">
        <v>63</v>
      </c>
      <c r="U108" s="91">
        <v>62.5</v>
      </c>
      <c r="V108" s="91">
        <v>63.7</v>
      </c>
      <c r="W108" s="91">
        <v>63.6</v>
      </c>
      <c r="X108" s="91">
        <v>64.5</v>
      </c>
      <c r="Y108" s="91">
        <v>62.9</v>
      </c>
      <c r="Z108" s="91">
        <v>62.9</v>
      </c>
      <c r="AA108" s="91">
        <v>64.3</v>
      </c>
      <c r="AB108" s="91">
        <v>64.7</v>
      </c>
      <c r="AC108" s="91">
        <v>64</v>
      </c>
      <c r="AD108" s="91">
        <v>64</v>
      </c>
      <c r="AE108" s="91">
        <v>64</v>
      </c>
      <c r="AF108" s="91">
        <v>63.8</v>
      </c>
      <c r="AG108" s="107"/>
      <c r="AH108" s="47">
        <f t="shared" si="30"/>
        <v>65.599999999999994</v>
      </c>
      <c r="AI108" s="48">
        <f t="shared" si="31"/>
        <v>61.7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30"/>
        <v>0</v>
      </c>
      <c r="AI109" s="48">
        <f t="shared" si="31"/>
        <v>0</v>
      </c>
    </row>
    <row r="110" spans="1:37" ht="15.75" thickBot="1" x14ac:dyDescent="0.3">
      <c r="A110" s="109" t="s">
        <v>118</v>
      </c>
      <c r="B110" s="110">
        <f t="shared" ref="B110:O110" si="68">SUM(B20,B26,B29:B30,B58,B60:B61,B63,B65,B111:B115,B138,B144,B150,B159,B161,B173,B180,B183:B184,B191,B193,B195,B199:B201,B203:B205,B210,B216:B217,B219:B221,B229,B234)</f>
        <v>67.299999999999983</v>
      </c>
      <c r="C110" s="110">
        <f t="shared" si="68"/>
        <v>50.94</v>
      </c>
      <c r="D110" s="110">
        <f t="shared" si="68"/>
        <v>18.839999999999957</v>
      </c>
      <c r="E110" s="110">
        <f t="shared" si="68"/>
        <v>25.839999999999957</v>
      </c>
      <c r="F110" s="110">
        <f t="shared" si="68"/>
        <v>13.040000000000008</v>
      </c>
      <c r="G110" s="110">
        <f t="shared" si="68"/>
        <v>31.339999999999989</v>
      </c>
      <c r="H110" s="110">
        <f t="shared" si="68"/>
        <v>45.039999999999978</v>
      </c>
      <c r="I110" s="110">
        <f t="shared" si="68"/>
        <v>73.039999999999992</v>
      </c>
      <c r="J110" s="110">
        <f t="shared" si="68"/>
        <v>113.64</v>
      </c>
      <c r="K110" s="110">
        <f t="shared" si="68"/>
        <v>121.43999999999996</v>
      </c>
      <c r="L110" s="110">
        <f t="shared" si="68"/>
        <v>160.13999999999996</v>
      </c>
      <c r="M110" s="110">
        <f t="shared" si="68"/>
        <v>170.23999999999998</v>
      </c>
      <c r="N110" s="110">
        <f t="shared" si="68"/>
        <v>190.84000000000003</v>
      </c>
      <c r="O110" s="110">
        <f t="shared" si="68"/>
        <v>186.14</v>
      </c>
      <c r="P110" s="110">
        <v>42</v>
      </c>
      <c r="Q110" s="110">
        <f t="shared" ref="Q110:AF110" si="69">SUM(Q20,Q26,Q29:Q30,Q58,Q60:Q61,Q63,Q65,Q111:Q115,Q138,Q144,Q150,Q159,Q161,Q173,Q180,Q183:Q184,Q191,Q193,Q195,Q199:Q201,Q203:Q205,Q210,Q216:Q217,Q219:Q221,Q229,Q234)</f>
        <v>182.99999999999997</v>
      </c>
      <c r="R110" s="110">
        <f t="shared" si="69"/>
        <v>163.39999999999998</v>
      </c>
      <c r="S110" s="110">
        <f t="shared" ref="S110:T110" si="70">SUM(S20,S26,S29:S30,S58,S60:S61,S63,S65,S111:S115,S138,S144,S150,S159,S161,S173,S180,S183:S184,S191,S193,S195,S199:S201,S203:S205,S210,S216:S217,S219:S221,S229,S234)</f>
        <v>175.19999999999996</v>
      </c>
      <c r="T110" s="110">
        <f t="shared" si="70"/>
        <v>185.1</v>
      </c>
      <c r="U110" s="110">
        <f t="shared" ref="U110:V110" si="71">SUM(U20,U26,U29:U30,U58,U60:U61,U63,U65,U111:U115,U138,U144,U150,U159,U161,U173,U180,U183:U184,U191,U193,U195,U199:U201,U203:U205,U210,U216:U217,U219:U221,U229,U234)</f>
        <v>183.5</v>
      </c>
      <c r="V110" s="110">
        <f t="shared" si="71"/>
        <v>199.2</v>
      </c>
      <c r="W110" s="110">
        <f t="shared" ref="W110:AC110" si="72">SUM(W20,W26,W29:W30,W58,W60:W61,W63,W65,W111:W115,W138,W144,W150,W159,W161,W173,W180,W183:W184,W191,W193,W195,W199:W201,W203:W205,W210,W216:W217,W219:W221,W229,W234)</f>
        <v>180.19999999999996</v>
      </c>
      <c r="X110" s="110">
        <f t="shared" si="72"/>
        <v>174.2</v>
      </c>
      <c r="Y110" s="110">
        <f t="shared" si="72"/>
        <v>251.6</v>
      </c>
      <c r="Z110" s="110">
        <f t="shared" si="72"/>
        <v>246.59999999999997</v>
      </c>
      <c r="AA110" s="110">
        <f t="shared" si="72"/>
        <v>201.5</v>
      </c>
      <c r="AB110" s="110">
        <f t="shared" si="72"/>
        <v>186.9</v>
      </c>
      <c r="AC110" s="110">
        <f t="shared" si="72"/>
        <v>150.30000000000001</v>
      </c>
      <c r="AD110" s="110"/>
      <c r="AE110" s="110">
        <f t="shared" si="69"/>
        <v>152.79999999999993</v>
      </c>
      <c r="AF110" s="110">
        <f t="shared" si="69"/>
        <v>73.19999999999996</v>
      </c>
      <c r="AG110" s="111"/>
      <c r="AH110" s="47">
        <f t="shared" si="30"/>
        <v>251.6</v>
      </c>
      <c r="AI110" s="48">
        <f t="shared" si="31"/>
        <v>13.040000000000008</v>
      </c>
    </row>
    <row r="111" spans="1:37" x14ac:dyDescent="0.25">
      <c r="A111" s="99" t="s">
        <v>119</v>
      </c>
      <c r="B111" s="112">
        <v>25.9</v>
      </c>
      <c r="C111" s="112">
        <v>20.3</v>
      </c>
      <c r="D111" s="112">
        <v>25.7</v>
      </c>
      <c r="E111" s="112">
        <v>23.2</v>
      </c>
      <c r="F111" s="112">
        <v>17.2</v>
      </c>
      <c r="G111" s="112">
        <v>27.3</v>
      </c>
      <c r="H111" s="112">
        <v>32.200000000000003</v>
      </c>
      <c r="I111" s="112">
        <v>44.9</v>
      </c>
      <c r="J111" s="112">
        <v>52.8</v>
      </c>
      <c r="K111" s="112">
        <v>49.7</v>
      </c>
      <c r="L111" s="112">
        <v>57.5</v>
      </c>
      <c r="M111" s="112">
        <v>61.6</v>
      </c>
      <c r="N111" s="112">
        <v>58.7</v>
      </c>
      <c r="O111" s="112">
        <v>66.900000000000006</v>
      </c>
      <c r="P111" s="112">
        <v>66.400000000000006</v>
      </c>
      <c r="Q111" s="112">
        <v>57.5</v>
      </c>
      <c r="R111" s="112">
        <v>36</v>
      </c>
      <c r="S111" s="112">
        <v>54.1</v>
      </c>
      <c r="T111" s="112">
        <v>62.4</v>
      </c>
      <c r="U111" s="112">
        <v>57.6</v>
      </c>
      <c r="V111" s="112">
        <v>59</v>
      </c>
      <c r="W111" s="112">
        <v>54.7</v>
      </c>
      <c r="X111" s="112">
        <v>41.1</v>
      </c>
      <c r="Y111" s="112">
        <v>64.2</v>
      </c>
      <c r="Z111" s="112">
        <v>63.2</v>
      </c>
      <c r="AA111" s="112">
        <v>55.9</v>
      </c>
      <c r="AB111" s="112">
        <v>53.9</v>
      </c>
      <c r="AC111" s="112">
        <v>50.5</v>
      </c>
      <c r="AD111" s="112">
        <v>46.2</v>
      </c>
      <c r="AE111" s="112">
        <v>46.2</v>
      </c>
      <c r="AF111" s="112">
        <v>38</v>
      </c>
      <c r="AG111" s="113">
        <v>75</v>
      </c>
      <c r="AH111" s="47">
        <f t="shared" si="30"/>
        <v>66.900000000000006</v>
      </c>
      <c r="AI111" s="48">
        <f t="shared" si="31"/>
        <v>17.2</v>
      </c>
    </row>
    <row r="112" spans="1:37" x14ac:dyDescent="0.25">
      <c r="A112" s="102" t="s">
        <v>120</v>
      </c>
      <c r="B112" s="114">
        <v>41.5</v>
      </c>
      <c r="C112" s="114">
        <v>32.799999999999997</v>
      </c>
      <c r="D112" s="114">
        <v>25.2</v>
      </c>
      <c r="E112" s="114">
        <v>39.700000000000003</v>
      </c>
      <c r="F112" s="114">
        <v>28.3</v>
      </c>
      <c r="G112" s="114">
        <v>45.3</v>
      </c>
      <c r="H112" s="114">
        <v>46.1</v>
      </c>
      <c r="I112" s="114">
        <v>67.099999999999994</v>
      </c>
      <c r="J112" s="114">
        <v>74.7</v>
      </c>
      <c r="K112" s="114">
        <v>69.7</v>
      </c>
      <c r="L112" s="114">
        <v>83.1</v>
      </c>
      <c r="M112" s="114">
        <v>88.8</v>
      </c>
      <c r="N112" s="114">
        <v>84.3</v>
      </c>
      <c r="O112" s="114">
        <v>98.8</v>
      </c>
      <c r="P112" s="114">
        <v>97.3</v>
      </c>
      <c r="Q112" s="114">
        <v>83.2</v>
      </c>
      <c r="R112" s="114">
        <v>54</v>
      </c>
      <c r="S112" s="114">
        <v>78.099999999999994</v>
      </c>
      <c r="T112" s="114">
        <v>90.4</v>
      </c>
      <c r="U112" s="114">
        <v>82.4</v>
      </c>
      <c r="V112" s="114">
        <v>86.1</v>
      </c>
      <c r="W112" s="114">
        <v>77.7</v>
      </c>
      <c r="X112" s="114">
        <v>51.9</v>
      </c>
      <c r="Y112" s="114">
        <v>89.8</v>
      </c>
      <c r="Z112" s="114">
        <v>92.6</v>
      </c>
      <c r="AA112" s="114">
        <v>82</v>
      </c>
      <c r="AB112" s="114">
        <v>81</v>
      </c>
      <c r="AC112" s="114">
        <v>71.7</v>
      </c>
      <c r="AD112" s="114">
        <v>66.599999999999994</v>
      </c>
      <c r="AE112" s="114">
        <v>66.599999999999994</v>
      </c>
      <c r="AF112" s="114">
        <v>56.4</v>
      </c>
      <c r="AG112" s="113">
        <v>240</v>
      </c>
      <c r="AH112" s="47">
        <f t="shared" si="30"/>
        <v>98.8</v>
      </c>
      <c r="AI112" s="48">
        <f t="shared" si="31"/>
        <v>25.2</v>
      </c>
    </row>
    <row r="113" spans="1:37" x14ac:dyDescent="0.25">
      <c r="A113" s="102" t="s">
        <v>121</v>
      </c>
      <c r="B113" s="114">
        <v>-180</v>
      </c>
      <c r="C113" s="114">
        <v>-178</v>
      </c>
      <c r="D113" s="114">
        <v>-185</v>
      </c>
      <c r="E113" s="114">
        <f>-87.1-90.9</f>
        <v>-178</v>
      </c>
      <c r="F113" s="114">
        <f>-85.2-88.2</f>
        <v>-173.4</v>
      </c>
      <c r="G113" s="114">
        <f>-89.9-93.7</f>
        <v>-183.60000000000002</v>
      </c>
      <c r="H113" s="114">
        <f>-87.1-91.9</f>
        <v>-179</v>
      </c>
      <c r="I113" s="114">
        <f>-90-90.9</f>
        <v>-180.9</v>
      </c>
      <c r="J113" s="114">
        <f>-85.5-92.2</f>
        <v>-177.7</v>
      </c>
      <c r="K113" s="114">
        <f>-80.7-85.2</f>
        <v>-165.9</v>
      </c>
      <c r="L113" s="114">
        <f>-86-89</f>
        <v>-175</v>
      </c>
      <c r="M113" s="114">
        <v>-183</v>
      </c>
      <c r="N113" s="114">
        <v>-164</v>
      </c>
      <c r="O113" s="114">
        <v>-193</v>
      </c>
      <c r="P113" s="114">
        <v>-185</v>
      </c>
      <c r="Q113" s="114">
        <v>-189</v>
      </c>
      <c r="R113" s="114">
        <v>-156</v>
      </c>
      <c r="S113" s="114">
        <v>-181</v>
      </c>
      <c r="T113" s="114">
        <v>-189.5</v>
      </c>
      <c r="U113" s="114">
        <v>-183.9</v>
      </c>
      <c r="V113" s="114">
        <v>-176.5</v>
      </c>
      <c r="W113" s="114">
        <v>-167</v>
      </c>
      <c r="X113" s="114">
        <v>-131.9</v>
      </c>
      <c r="Y113" s="114">
        <v>-145.30000000000001</v>
      </c>
      <c r="Z113" s="114">
        <v>-169</v>
      </c>
      <c r="AA113" s="114">
        <v>-168</v>
      </c>
      <c r="AB113" s="114">
        <v>-180</v>
      </c>
      <c r="AC113" s="114">
        <v>-190</v>
      </c>
      <c r="AD113" s="114">
        <v>-168</v>
      </c>
      <c r="AE113" s="114">
        <v>-168</v>
      </c>
      <c r="AF113" s="114">
        <v>-180</v>
      </c>
      <c r="AG113" s="113">
        <v>240</v>
      </c>
      <c r="AH113" s="47">
        <f t="shared" si="30"/>
        <v>-131.9</v>
      </c>
      <c r="AI113" s="48">
        <f t="shared" si="31"/>
        <v>-193</v>
      </c>
    </row>
    <row r="114" spans="1:37" x14ac:dyDescent="0.25">
      <c r="A114" s="102" t="s">
        <v>122</v>
      </c>
      <c r="B114" s="114">
        <v>-12</v>
      </c>
      <c r="C114" s="114">
        <v>-12</v>
      </c>
      <c r="D114" s="114">
        <v>-15</v>
      </c>
      <c r="E114" s="114">
        <v>-11</v>
      </c>
      <c r="F114" s="114">
        <v>-11.2</v>
      </c>
      <c r="G114" s="114">
        <v>-14.5</v>
      </c>
      <c r="H114" s="114">
        <v>-15.7</v>
      </c>
      <c r="I114" s="114">
        <v>-19.3</v>
      </c>
      <c r="J114" s="114">
        <v>-22.9</v>
      </c>
      <c r="K114" s="114">
        <v>-18.5</v>
      </c>
      <c r="L114" s="114">
        <v>-20.3</v>
      </c>
      <c r="M114" s="114">
        <v>-17.399999999999999</v>
      </c>
      <c r="N114" s="114">
        <v>-8.1</v>
      </c>
      <c r="O114" s="114">
        <v>-6.5</v>
      </c>
      <c r="P114" s="114">
        <v>-0.3</v>
      </c>
      <c r="Q114" s="114">
        <v>2.8</v>
      </c>
      <c r="R114" s="114">
        <v>6</v>
      </c>
      <c r="S114" s="114">
        <v>2.1</v>
      </c>
      <c r="T114" s="114">
        <v>2.9</v>
      </c>
      <c r="U114" s="114">
        <v>7.2</v>
      </c>
      <c r="V114" s="114">
        <v>6.4</v>
      </c>
      <c r="W114" s="114">
        <v>1</v>
      </c>
      <c r="X114" s="114">
        <v>13</v>
      </c>
      <c r="Y114" s="114">
        <v>11.2</v>
      </c>
      <c r="Z114" s="114">
        <v>29.4</v>
      </c>
      <c r="AA114" s="114">
        <v>24.5</v>
      </c>
      <c r="AB114" s="114">
        <v>7.5</v>
      </c>
      <c r="AC114" s="114">
        <v>-7.2</v>
      </c>
      <c r="AD114" s="114">
        <v>-2.4</v>
      </c>
      <c r="AE114" s="114">
        <v>-2.4</v>
      </c>
      <c r="AF114" s="114">
        <v>-8.6</v>
      </c>
      <c r="AG114" s="113">
        <v>60</v>
      </c>
      <c r="AH114" s="47">
        <f t="shared" si="30"/>
        <v>29.4</v>
      </c>
      <c r="AI114" s="48">
        <f t="shared" si="31"/>
        <v>-22.9</v>
      </c>
    </row>
    <row r="115" spans="1:37" x14ac:dyDescent="0.25">
      <c r="A115" s="115" t="s">
        <v>123</v>
      </c>
      <c r="B115" s="116">
        <v>29</v>
      </c>
      <c r="C115" s="116">
        <v>29</v>
      </c>
      <c r="D115" s="116">
        <v>14.1</v>
      </c>
      <c r="E115" s="116">
        <v>-1.9</v>
      </c>
      <c r="F115" s="116">
        <v>-2.1</v>
      </c>
      <c r="G115" s="116">
        <v>-2.2999999999999998</v>
      </c>
      <c r="H115" s="116">
        <v>-2.5</v>
      </c>
      <c r="I115" s="116">
        <v>-2.7</v>
      </c>
      <c r="J115" s="116">
        <v>22.8</v>
      </c>
      <c r="K115" s="116">
        <v>22.8</v>
      </c>
      <c r="L115" s="116">
        <v>40.700000000000003</v>
      </c>
      <c r="M115" s="116">
        <v>41</v>
      </c>
      <c r="N115" s="116">
        <v>40.700000000000003</v>
      </c>
      <c r="O115" s="116">
        <v>40.700000000000003</v>
      </c>
      <c r="P115" s="116">
        <v>41</v>
      </c>
      <c r="Q115" s="116">
        <v>41.1</v>
      </c>
      <c r="R115" s="116">
        <v>36</v>
      </c>
      <c r="S115" s="116">
        <v>36</v>
      </c>
      <c r="T115" s="116">
        <v>36</v>
      </c>
      <c r="U115" s="116">
        <v>40.200000000000003</v>
      </c>
      <c r="V115" s="116">
        <v>40.1</v>
      </c>
      <c r="W115" s="116">
        <v>40.1</v>
      </c>
      <c r="X115" s="116">
        <v>39.5</v>
      </c>
      <c r="Y115" s="116">
        <v>49.1</v>
      </c>
      <c r="Z115" s="116">
        <v>47.8</v>
      </c>
      <c r="AA115" s="116">
        <v>24.5</v>
      </c>
      <c r="AB115" s="116">
        <v>41.9</v>
      </c>
      <c r="AC115" s="116">
        <v>42.7</v>
      </c>
      <c r="AD115" s="116">
        <v>43</v>
      </c>
      <c r="AE115" s="116">
        <v>43</v>
      </c>
      <c r="AF115" s="116">
        <v>0</v>
      </c>
      <c r="AG115" s="117">
        <v>120</v>
      </c>
      <c r="AH115" s="47">
        <f t="shared" si="30"/>
        <v>49.1</v>
      </c>
      <c r="AI115" s="48">
        <f t="shared" si="31"/>
        <v>-2.7</v>
      </c>
    </row>
    <row r="116" spans="1:37" x14ac:dyDescent="0.25">
      <c r="A116" s="115" t="s">
        <v>124</v>
      </c>
      <c r="B116" s="116">
        <v>49</v>
      </c>
      <c r="C116" s="116">
        <v>52</v>
      </c>
      <c r="D116" s="116">
        <v>42.5</v>
      </c>
      <c r="E116" s="116">
        <v>43.2</v>
      </c>
      <c r="F116" s="116">
        <v>49</v>
      </c>
      <c r="G116" s="116">
        <v>48.5</v>
      </c>
      <c r="H116" s="116">
        <v>46.7</v>
      </c>
      <c r="I116" s="116">
        <v>30.2</v>
      </c>
      <c r="J116" s="116">
        <v>42</v>
      </c>
      <c r="K116" s="116">
        <v>50.8</v>
      </c>
      <c r="L116" s="116">
        <v>58.3</v>
      </c>
      <c r="M116" s="116">
        <v>52.5</v>
      </c>
      <c r="N116" s="116">
        <v>48.4</v>
      </c>
      <c r="O116" s="116">
        <v>43.6</v>
      </c>
      <c r="P116" s="116">
        <v>15.6</v>
      </c>
      <c r="Q116" s="116">
        <v>41.8</v>
      </c>
      <c r="R116" s="116">
        <v>63</v>
      </c>
      <c r="S116" s="116">
        <v>34.799999999999997</v>
      </c>
      <c r="T116" s="116">
        <v>23</v>
      </c>
      <c r="U116" s="116">
        <v>36.700000000000003</v>
      </c>
      <c r="V116" s="116">
        <v>21.4</v>
      </c>
      <c r="W116" s="116">
        <v>32.9</v>
      </c>
      <c r="X116" s="116">
        <v>46.5</v>
      </c>
      <c r="Y116" s="116">
        <v>41.2</v>
      </c>
      <c r="Z116" s="116">
        <v>25.3</v>
      </c>
      <c r="AA116" s="116">
        <v>48.3</v>
      </c>
      <c r="AB116" s="116">
        <v>1.7</v>
      </c>
      <c r="AC116" s="116">
        <v>42</v>
      </c>
      <c r="AD116" s="116">
        <v>32.700000000000003</v>
      </c>
      <c r="AE116" s="116">
        <v>32.700000000000003</v>
      </c>
      <c r="AF116" s="116">
        <v>41.2</v>
      </c>
      <c r="AG116" s="117"/>
      <c r="AH116" s="47">
        <f t="shared" si="30"/>
        <v>63</v>
      </c>
      <c r="AI116" s="48">
        <f t="shared" si="31"/>
        <v>1.7</v>
      </c>
    </row>
    <row r="117" spans="1:37" x14ac:dyDescent="0.25">
      <c r="A117" s="115" t="s">
        <v>125</v>
      </c>
      <c r="B117" s="116">
        <v>16</v>
      </c>
      <c r="C117" s="116">
        <v>19</v>
      </c>
      <c r="D117" s="116">
        <v>13.3</v>
      </c>
      <c r="E117" s="116">
        <v>18.7</v>
      </c>
      <c r="F117" s="116">
        <v>24.5</v>
      </c>
      <c r="G117" s="116">
        <v>18</v>
      </c>
      <c r="H117" s="116">
        <v>17.8</v>
      </c>
      <c r="I117" s="116">
        <v>7.9</v>
      </c>
      <c r="J117" s="116">
        <v>2.9</v>
      </c>
      <c r="K117" s="116">
        <v>9.4</v>
      </c>
      <c r="L117" s="116">
        <v>9.8000000000000007</v>
      </c>
      <c r="M117" s="116">
        <v>3.3</v>
      </c>
      <c r="N117" s="116">
        <v>12.5</v>
      </c>
      <c r="O117" s="116">
        <v>5.3</v>
      </c>
      <c r="P117" s="116">
        <v>7.3</v>
      </c>
      <c r="Q117" s="116">
        <v>12.1</v>
      </c>
      <c r="R117" s="116">
        <v>10</v>
      </c>
      <c r="S117" s="116">
        <v>1.2</v>
      </c>
      <c r="T117" s="116">
        <v>-3.5</v>
      </c>
      <c r="U117" s="116">
        <v>1.3</v>
      </c>
      <c r="V117" s="116">
        <v>6.9</v>
      </c>
      <c r="W117" s="116">
        <v>2.7</v>
      </c>
      <c r="X117" s="116">
        <v>2.6</v>
      </c>
      <c r="Y117" s="116">
        <v>7.5</v>
      </c>
      <c r="Z117" s="116">
        <v>0</v>
      </c>
      <c r="AA117" s="116">
        <v>0</v>
      </c>
      <c r="AB117" s="116">
        <v>2.1</v>
      </c>
      <c r="AC117" s="116">
        <v>4.2</v>
      </c>
      <c r="AD117" s="116">
        <v>11.2</v>
      </c>
      <c r="AE117" s="116">
        <v>11.2</v>
      </c>
      <c r="AF117" s="116">
        <v>15.1</v>
      </c>
      <c r="AG117" s="118"/>
      <c r="AH117" s="47">
        <f t="shared" si="30"/>
        <v>24.5</v>
      </c>
      <c r="AI117" s="48">
        <f t="shared" si="31"/>
        <v>-3.5</v>
      </c>
    </row>
    <row r="118" spans="1:37" x14ac:dyDescent="0.25">
      <c r="A118" s="119" t="s">
        <v>126</v>
      </c>
      <c r="B118" s="105">
        <v>45</v>
      </c>
      <c r="C118" s="105">
        <v>48</v>
      </c>
      <c r="D118" s="105">
        <v>51.7</v>
      </c>
      <c r="E118" s="105">
        <v>54.3</v>
      </c>
      <c r="F118" s="105">
        <v>55.2</v>
      </c>
      <c r="G118" s="105">
        <v>57.7</v>
      </c>
      <c r="H118" s="105">
        <v>59.8</v>
      </c>
      <c r="I118" s="105">
        <v>60.6</v>
      </c>
      <c r="J118" s="105">
        <v>56.4</v>
      </c>
      <c r="K118" s="105">
        <v>55.2</v>
      </c>
      <c r="L118" s="105">
        <v>47.5</v>
      </c>
      <c r="M118" s="105">
        <v>37.200000000000003</v>
      </c>
      <c r="N118" s="105">
        <v>23.5</v>
      </c>
      <c r="O118" s="105">
        <v>20.6</v>
      </c>
      <c r="P118" s="105">
        <v>-9.6</v>
      </c>
      <c r="Q118" s="105">
        <v>20.8</v>
      </c>
      <c r="R118" s="105">
        <v>33</v>
      </c>
      <c r="S118" s="105">
        <v>18.2</v>
      </c>
      <c r="T118" s="105">
        <v>23.9</v>
      </c>
      <c r="U118" s="105">
        <v>42.1</v>
      </c>
      <c r="V118" s="105">
        <v>48.7</v>
      </c>
      <c r="W118" s="105">
        <v>42.1</v>
      </c>
      <c r="X118" s="105">
        <v>41.8</v>
      </c>
      <c r="Y118" s="105">
        <v>29.3</v>
      </c>
      <c r="Z118" s="105">
        <v>29.9</v>
      </c>
      <c r="AA118" s="105">
        <v>32.6</v>
      </c>
      <c r="AB118" s="105">
        <v>33.5</v>
      </c>
      <c r="AC118" s="105">
        <v>36.5</v>
      </c>
      <c r="AD118" s="105">
        <v>35.6</v>
      </c>
      <c r="AE118" s="105">
        <v>35.6</v>
      </c>
      <c r="AF118" s="105">
        <v>44</v>
      </c>
      <c r="AG118" s="118"/>
      <c r="AH118" s="47">
        <f t="shared" si="30"/>
        <v>60.6</v>
      </c>
      <c r="AI118" s="48">
        <f t="shared" si="31"/>
        <v>-9.6</v>
      </c>
    </row>
    <row r="119" spans="1:37" x14ac:dyDescent="0.25">
      <c r="A119" s="120" t="s">
        <v>127</v>
      </c>
      <c r="B119" s="105">
        <v>94</v>
      </c>
      <c r="C119" s="105">
        <v>91</v>
      </c>
      <c r="D119" s="105">
        <v>98.7</v>
      </c>
      <c r="E119" s="105">
        <v>95.3</v>
      </c>
      <c r="F119" s="105">
        <v>87.7</v>
      </c>
      <c r="G119" s="105">
        <v>94.1</v>
      </c>
      <c r="H119" s="105">
        <v>91.3</v>
      </c>
      <c r="I119" s="105">
        <v>86.6</v>
      </c>
      <c r="J119" s="105">
        <v>90.2</v>
      </c>
      <c r="K119" s="105">
        <v>82.2</v>
      </c>
      <c r="L119" s="105">
        <v>82.1</v>
      </c>
      <c r="M119" s="105">
        <v>82.5</v>
      </c>
      <c r="N119" s="105">
        <v>85.2</v>
      </c>
      <c r="O119" s="105">
        <v>94.9</v>
      </c>
      <c r="P119" s="105">
        <v>95.7</v>
      </c>
      <c r="Q119" s="105">
        <v>105.3</v>
      </c>
      <c r="R119" s="105">
        <v>80</v>
      </c>
      <c r="S119" s="105">
        <v>93.1</v>
      </c>
      <c r="T119" s="105">
        <v>96.6</v>
      </c>
      <c r="U119" s="105">
        <v>91.5</v>
      </c>
      <c r="V119" s="105">
        <v>89.4</v>
      </c>
      <c r="W119" s="105">
        <v>79.8</v>
      </c>
      <c r="X119" s="105">
        <v>64.5</v>
      </c>
      <c r="Y119" s="105">
        <v>70.5</v>
      </c>
      <c r="Z119" s="105">
        <v>99.5</v>
      </c>
      <c r="AA119" s="105">
        <v>96.7</v>
      </c>
      <c r="AB119" s="105">
        <v>91</v>
      </c>
      <c r="AC119" s="105">
        <v>87.5</v>
      </c>
      <c r="AD119" s="105">
        <v>86.5</v>
      </c>
      <c r="AE119" s="105">
        <v>86.5</v>
      </c>
      <c r="AF119" s="105">
        <v>89</v>
      </c>
      <c r="AG119" s="118"/>
      <c r="AH119" s="47">
        <f t="shared" si="30"/>
        <v>105.3</v>
      </c>
      <c r="AI119" s="48">
        <f t="shared" si="31"/>
        <v>64.5</v>
      </c>
    </row>
    <row r="120" spans="1:37" ht="15.75" thickBot="1" x14ac:dyDescent="0.3">
      <c r="A120" s="119" t="s">
        <v>128</v>
      </c>
      <c r="B120" s="105">
        <v>29</v>
      </c>
      <c r="C120" s="105">
        <v>23</v>
      </c>
      <c r="D120" s="105">
        <v>21.3</v>
      </c>
      <c r="E120" s="105">
        <v>15.8</v>
      </c>
      <c r="F120" s="105">
        <v>14.9</v>
      </c>
      <c r="G120" s="105">
        <v>10.3</v>
      </c>
      <c r="H120" s="105">
        <v>4.3</v>
      </c>
      <c r="I120" s="105">
        <v>-10.1</v>
      </c>
      <c r="J120" s="105">
        <v>-12</v>
      </c>
      <c r="K120" s="105">
        <v>-9.3000000000000007</v>
      </c>
      <c r="L120" s="105">
        <v>16.3</v>
      </c>
      <c r="M120" s="105">
        <v>30.4</v>
      </c>
      <c r="N120" s="105">
        <v>49.5</v>
      </c>
      <c r="O120" s="105">
        <v>55</v>
      </c>
      <c r="P120" s="105">
        <v>31.5</v>
      </c>
      <c r="Q120" s="105">
        <v>43.3</v>
      </c>
      <c r="R120" s="105">
        <v>62</v>
      </c>
      <c r="S120" s="105">
        <v>78</v>
      </c>
      <c r="T120" s="105">
        <v>28</v>
      </c>
      <c r="U120" s="105">
        <v>13</v>
      </c>
      <c r="V120" s="105">
        <v>5.4</v>
      </c>
      <c r="W120" s="105">
        <v>7.8</v>
      </c>
      <c r="X120" s="105">
        <v>9.1</v>
      </c>
      <c r="Y120" s="105">
        <v>33.4</v>
      </c>
      <c r="Z120" s="105">
        <v>32.799999999999997</v>
      </c>
      <c r="AA120" s="105">
        <v>36.4</v>
      </c>
      <c r="AB120" s="105">
        <v>40.6</v>
      </c>
      <c r="AC120" s="105">
        <v>41.7</v>
      </c>
      <c r="AD120" s="105">
        <v>44.4</v>
      </c>
      <c r="AE120" s="105">
        <v>44.4</v>
      </c>
      <c r="AF120" s="105">
        <v>32</v>
      </c>
      <c r="AG120" s="118"/>
      <c r="AH120" s="47">
        <f t="shared" si="30"/>
        <v>78</v>
      </c>
      <c r="AI120" s="48">
        <f t="shared" si="31"/>
        <v>-12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73">SUM(B122:B226)</f>
        <v>0</v>
      </c>
      <c r="C227" s="136">
        <f t="shared" si="73"/>
        <v>0</v>
      </c>
      <c r="D227" s="136">
        <f t="shared" si="73"/>
        <v>0</v>
      </c>
      <c r="E227" s="136">
        <f t="shared" si="73"/>
        <v>0</v>
      </c>
      <c r="F227" s="136">
        <f t="shared" si="73"/>
        <v>0</v>
      </c>
      <c r="G227" s="136">
        <f t="shared" si="73"/>
        <v>0</v>
      </c>
      <c r="H227" s="136">
        <f t="shared" si="73"/>
        <v>0</v>
      </c>
      <c r="I227" s="136">
        <f t="shared" si="73"/>
        <v>0</v>
      </c>
      <c r="J227" s="136">
        <f t="shared" si="73"/>
        <v>0</v>
      </c>
      <c r="K227" s="136">
        <f t="shared" si="73"/>
        <v>0</v>
      </c>
      <c r="L227" s="136">
        <f t="shared" si="73"/>
        <v>0</v>
      </c>
      <c r="M227" s="136">
        <f t="shared" si="73"/>
        <v>0</v>
      </c>
      <c r="N227" s="136">
        <f t="shared" si="73"/>
        <v>0</v>
      </c>
      <c r="O227" s="136">
        <f t="shared" si="73"/>
        <v>0</v>
      </c>
      <c r="P227" s="136">
        <f t="shared" si="73"/>
        <v>0</v>
      </c>
      <c r="Q227" s="136">
        <f t="shared" si="73"/>
        <v>0</v>
      </c>
      <c r="R227" s="136">
        <f t="shared" si="73"/>
        <v>0</v>
      </c>
      <c r="S227" s="136">
        <f t="shared" si="73"/>
        <v>0</v>
      </c>
      <c r="T227" s="136">
        <f t="shared" si="73"/>
        <v>0</v>
      </c>
      <c r="U227" s="136">
        <f t="shared" si="73"/>
        <v>0</v>
      </c>
      <c r="V227" s="136">
        <f t="shared" si="73"/>
        <v>0</v>
      </c>
      <c r="W227" s="136">
        <f t="shared" si="73"/>
        <v>0</v>
      </c>
      <c r="X227" s="136">
        <f t="shared" si="73"/>
        <v>0</v>
      </c>
      <c r="Y227" s="136">
        <f t="shared" si="73"/>
        <v>0</v>
      </c>
      <c r="Z227" s="136">
        <f t="shared" si="73"/>
        <v>0</v>
      </c>
      <c r="AA227" s="136">
        <f t="shared" si="73"/>
        <v>0</v>
      </c>
      <c r="AB227" s="136">
        <f t="shared" si="73"/>
        <v>0</v>
      </c>
      <c r="AC227" s="136">
        <f t="shared" si="73"/>
        <v>0</v>
      </c>
      <c r="AD227" s="136">
        <f t="shared" si="73"/>
        <v>0</v>
      </c>
      <c r="AE227" s="136">
        <f t="shared" si="73"/>
        <v>0</v>
      </c>
      <c r="AF227" s="137">
        <f t="shared" si="73"/>
        <v>0</v>
      </c>
      <c r="AG227" s="138">
        <f t="shared" si="73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74">AF229</f>
        <v>0</v>
      </c>
      <c r="C229" s="140">
        <v>0.3</v>
      </c>
      <c r="D229" s="140">
        <f t="shared" ref="D229:P234" si="75">C229</f>
        <v>0.3</v>
      </c>
      <c r="E229" s="140">
        <f t="shared" si="75"/>
        <v>0.3</v>
      </c>
      <c r="F229" s="140">
        <f t="shared" si="75"/>
        <v>0.3</v>
      </c>
      <c r="G229" s="140">
        <f t="shared" si="75"/>
        <v>0.3</v>
      </c>
      <c r="H229" s="140">
        <f t="shared" si="75"/>
        <v>0.3</v>
      </c>
      <c r="I229" s="140">
        <f t="shared" si="75"/>
        <v>0.3</v>
      </c>
      <c r="J229" s="140">
        <f t="shared" si="75"/>
        <v>0.3</v>
      </c>
      <c r="K229" s="140">
        <f t="shared" si="75"/>
        <v>0.3</v>
      </c>
      <c r="L229" s="140">
        <f t="shared" si="75"/>
        <v>0.3</v>
      </c>
      <c r="M229" s="140">
        <f t="shared" si="75"/>
        <v>0.3</v>
      </c>
      <c r="N229" s="140">
        <f t="shared" si="75"/>
        <v>0.3</v>
      </c>
      <c r="O229" s="140">
        <f t="shared" si="75"/>
        <v>0.3</v>
      </c>
      <c r="P229" s="140">
        <f t="shared" si="75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74"/>
        <v>0</v>
      </c>
      <c r="C230" s="128">
        <v>0.4</v>
      </c>
      <c r="D230" s="128">
        <f t="shared" si="75"/>
        <v>0.4</v>
      </c>
      <c r="E230" s="128">
        <f t="shared" si="75"/>
        <v>0.4</v>
      </c>
      <c r="F230" s="128">
        <f t="shared" si="75"/>
        <v>0.4</v>
      </c>
      <c r="G230" s="128">
        <f t="shared" si="75"/>
        <v>0.4</v>
      </c>
      <c r="H230" s="128">
        <f t="shared" si="75"/>
        <v>0.4</v>
      </c>
      <c r="I230" s="128">
        <f t="shared" si="75"/>
        <v>0.4</v>
      </c>
      <c r="J230" s="128">
        <f t="shared" si="75"/>
        <v>0.4</v>
      </c>
      <c r="K230" s="128">
        <f t="shared" si="75"/>
        <v>0.4</v>
      </c>
      <c r="L230" s="128">
        <f t="shared" si="75"/>
        <v>0.4</v>
      </c>
      <c r="M230" s="128">
        <f t="shared" si="75"/>
        <v>0.4</v>
      </c>
      <c r="N230" s="128">
        <f t="shared" si="75"/>
        <v>0.4</v>
      </c>
      <c r="O230" s="128">
        <f t="shared" si="75"/>
        <v>0.4</v>
      </c>
      <c r="P230" s="128">
        <f t="shared" si="75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74"/>
        <v>0</v>
      </c>
      <c r="C231" s="128">
        <v>1.5</v>
      </c>
      <c r="D231" s="128">
        <f t="shared" si="75"/>
        <v>1.5</v>
      </c>
      <c r="E231" s="128">
        <f t="shared" si="75"/>
        <v>1.5</v>
      </c>
      <c r="F231" s="128">
        <f t="shared" si="75"/>
        <v>1.5</v>
      </c>
      <c r="G231" s="128">
        <f t="shared" si="75"/>
        <v>1.5</v>
      </c>
      <c r="H231" s="128">
        <f t="shared" si="75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75"/>
        <v>123.21900000000009</v>
      </c>
      <c r="K231" s="128">
        <f t="shared" ca="1" si="75"/>
        <v>123.21900000000009</v>
      </c>
      <c r="L231" s="128">
        <f t="shared" ca="1" si="75"/>
        <v>123.21900000000009</v>
      </c>
      <c r="M231" s="128">
        <f t="shared" ca="1" si="75"/>
        <v>119.19900000000008</v>
      </c>
      <c r="N231" s="128">
        <f t="shared" ca="1" si="75"/>
        <v>119.19900000000008</v>
      </c>
      <c r="O231" s="128">
        <f t="shared" ca="1" si="75"/>
        <v>119.19900000000008</v>
      </c>
      <c r="P231" s="128">
        <f t="shared" ca="1" si="75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74"/>
        <v>0</v>
      </c>
      <c r="C232" s="128">
        <v>0.3</v>
      </c>
      <c r="D232" s="128">
        <f t="shared" si="75"/>
        <v>0.3</v>
      </c>
      <c r="E232" s="128">
        <f t="shared" si="75"/>
        <v>0.3</v>
      </c>
      <c r="F232" s="128">
        <f t="shared" si="75"/>
        <v>0.3</v>
      </c>
      <c r="G232" s="128">
        <f t="shared" si="75"/>
        <v>0.3</v>
      </c>
      <c r="H232" s="128">
        <f t="shared" si="75"/>
        <v>0.3</v>
      </c>
      <c r="I232" s="128">
        <f t="shared" si="75"/>
        <v>0.3</v>
      </c>
      <c r="J232" s="128">
        <f t="shared" si="75"/>
        <v>0.3</v>
      </c>
      <c r="K232" s="128">
        <f t="shared" si="75"/>
        <v>0.3</v>
      </c>
      <c r="L232" s="128">
        <f t="shared" si="75"/>
        <v>0.3</v>
      </c>
      <c r="M232" s="128">
        <f t="shared" si="75"/>
        <v>0.3</v>
      </c>
      <c r="N232" s="128">
        <f t="shared" si="75"/>
        <v>0.3</v>
      </c>
      <c r="O232" s="128">
        <f t="shared" si="75"/>
        <v>0.3</v>
      </c>
      <c r="P232" s="128">
        <f t="shared" si="75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74"/>
        <v>0</v>
      </c>
      <c r="C233" s="128">
        <v>0.4</v>
      </c>
      <c r="D233" s="128">
        <f t="shared" si="75"/>
        <v>0.4</v>
      </c>
      <c r="E233" s="128">
        <f t="shared" si="75"/>
        <v>0.4</v>
      </c>
      <c r="F233" s="128">
        <f t="shared" si="75"/>
        <v>0.4</v>
      </c>
      <c r="G233" s="128">
        <f t="shared" si="75"/>
        <v>0.4</v>
      </c>
      <c r="H233" s="128">
        <f t="shared" si="75"/>
        <v>0.4</v>
      </c>
      <c r="I233" s="128">
        <f t="shared" si="75"/>
        <v>0.4</v>
      </c>
      <c r="J233" s="128">
        <f t="shared" si="75"/>
        <v>0.4</v>
      </c>
      <c r="K233" s="128">
        <f t="shared" si="75"/>
        <v>0.4</v>
      </c>
      <c r="L233" s="128">
        <f t="shared" si="75"/>
        <v>0.4</v>
      </c>
      <c r="M233" s="128">
        <f t="shared" si="75"/>
        <v>0.4</v>
      </c>
      <c r="N233" s="128">
        <f t="shared" si="75"/>
        <v>0.4</v>
      </c>
      <c r="O233" s="128">
        <f t="shared" si="75"/>
        <v>0.4</v>
      </c>
      <c r="P233" s="128">
        <f t="shared" si="75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74"/>
        <v>0</v>
      </c>
      <c r="C234" s="132">
        <v>0.64</v>
      </c>
      <c r="D234" s="132">
        <f t="shared" si="75"/>
        <v>0.64</v>
      </c>
      <c r="E234" s="132">
        <f t="shared" si="75"/>
        <v>0.64</v>
      </c>
      <c r="F234" s="132">
        <f t="shared" si="75"/>
        <v>0.64</v>
      </c>
      <c r="G234" s="132">
        <f t="shared" si="75"/>
        <v>0.64</v>
      </c>
      <c r="H234" s="132">
        <f t="shared" si="75"/>
        <v>0.64</v>
      </c>
      <c r="I234" s="132">
        <f t="shared" si="75"/>
        <v>0.64</v>
      </c>
      <c r="J234" s="132">
        <f t="shared" si="75"/>
        <v>0.64</v>
      </c>
      <c r="K234" s="132">
        <f t="shared" si="75"/>
        <v>0.64</v>
      </c>
      <c r="L234" s="132">
        <f t="shared" si="75"/>
        <v>0.64</v>
      </c>
      <c r="M234" s="132">
        <f t="shared" si="75"/>
        <v>0.64</v>
      </c>
      <c r="N234" s="132">
        <f t="shared" si="75"/>
        <v>0.64</v>
      </c>
      <c r="O234" s="132">
        <f t="shared" si="75"/>
        <v>0.64</v>
      </c>
      <c r="P234" s="132">
        <f t="shared" si="75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76">SUM(B229:B234)</f>
        <v>0</v>
      </c>
      <c r="C235" s="136">
        <f t="shared" si="76"/>
        <v>3.54</v>
      </c>
      <c r="D235" s="136">
        <f t="shared" si="76"/>
        <v>3.54</v>
      </c>
      <c r="E235" s="136">
        <f t="shared" si="76"/>
        <v>3.54</v>
      </c>
      <c r="F235" s="136">
        <f t="shared" si="76"/>
        <v>3.54</v>
      </c>
      <c r="G235" s="136">
        <f t="shared" si="76"/>
        <v>3.54</v>
      </c>
      <c r="H235" s="136">
        <f t="shared" si="76"/>
        <v>3.54</v>
      </c>
      <c r="I235" s="136">
        <f t="shared" ca="1" si="76"/>
        <v>121.23900000000009</v>
      </c>
      <c r="J235" s="136">
        <f t="shared" ca="1" si="76"/>
        <v>121.23900000000009</v>
      </c>
      <c r="K235" s="136">
        <f t="shared" ca="1" si="76"/>
        <v>121.23900000000009</v>
      </c>
      <c r="L235" s="136">
        <f t="shared" ca="1" si="76"/>
        <v>125.2590000000001</v>
      </c>
      <c r="M235" s="136">
        <f t="shared" ca="1" si="76"/>
        <v>121.23900000000009</v>
      </c>
      <c r="N235" s="136">
        <f t="shared" ca="1" si="76"/>
        <v>121.23900000000009</v>
      </c>
      <c r="O235" s="136">
        <f t="shared" ca="1" si="76"/>
        <v>121.23900000000009</v>
      </c>
      <c r="P235" s="136">
        <f t="shared" ca="1" si="76"/>
        <v>121.23900000000009</v>
      </c>
      <c r="Q235" s="136">
        <f t="shared" si="76"/>
        <v>0</v>
      </c>
      <c r="R235" s="136">
        <f t="shared" si="76"/>
        <v>0</v>
      </c>
      <c r="S235" s="136">
        <f t="shared" si="76"/>
        <v>0</v>
      </c>
      <c r="T235" s="136">
        <f t="shared" si="76"/>
        <v>0</v>
      </c>
      <c r="U235" s="136">
        <f t="shared" si="76"/>
        <v>0</v>
      </c>
      <c r="V235" s="136">
        <f t="shared" si="76"/>
        <v>0</v>
      </c>
      <c r="W235" s="136">
        <f t="shared" si="76"/>
        <v>0</v>
      </c>
      <c r="X235" s="136">
        <f t="shared" si="76"/>
        <v>0</v>
      </c>
      <c r="Y235" s="136">
        <f t="shared" si="76"/>
        <v>0</v>
      </c>
      <c r="Z235" s="136">
        <f t="shared" si="76"/>
        <v>0</v>
      </c>
      <c r="AA235" s="136">
        <f t="shared" si="76"/>
        <v>0</v>
      </c>
      <c r="AB235" s="136">
        <f t="shared" si="76"/>
        <v>0</v>
      </c>
      <c r="AC235" s="136">
        <f t="shared" si="76"/>
        <v>0</v>
      </c>
      <c r="AD235" s="136">
        <f t="shared" si="76"/>
        <v>0</v>
      </c>
      <c r="AE235" s="136">
        <f t="shared" si="76"/>
        <v>0</v>
      </c>
      <c r="AF235" s="136">
        <f t="shared" si="76"/>
        <v>0</v>
      </c>
      <c r="AG235" s="145">
        <f t="shared" si="76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2154.54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77">B91</f>
        <v>2098.5400000000004</v>
      </c>
      <c r="U249" s="170">
        <f t="shared" si="77"/>
        <v>2069.7400000000002</v>
      </c>
      <c r="V249" s="170">
        <f t="shared" si="77"/>
        <v>2070.7399999999998</v>
      </c>
      <c r="W249" s="170">
        <f t="shared" si="77"/>
        <v>2070.7399999999998</v>
      </c>
      <c r="X249" s="170">
        <f t="shared" si="77"/>
        <v>2065.54</v>
      </c>
      <c r="Y249" s="170">
        <f t="shared" si="77"/>
        <v>2102.04</v>
      </c>
      <c r="Z249" s="170">
        <f t="shared" si="77"/>
        <v>2099.1400000000003</v>
      </c>
      <c r="AA249" s="170">
        <f t="shared" si="77"/>
        <v>2113.54</v>
      </c>
      <c r="AB249" s="170">
        <f t="shared" si="77"/>
        <v>2119.54</v>
      </c>
      <c r="AC249" s="170">
        <f t="shared" si="77"/>
        <v>2118.34</v>
      </c>
      <c r="AD249" s="170">
        <f t="shared" si="77"/>
        <v>2150.34</v>
      </c>
      <c r="AE249" s="170">
        <f t="shared" si="77"/>
        <v>2154.54</v>
      </c>
      <c r="AF249" s="170">
        <f t="shared" si="77"/>
        <v>2154.54</v>
      </c>
      <c r="AG249" s="170">
        <f t="shared" si="77"/>
        <v>2173.64</v>
      </c>
      <c r="AH249" s="170">
        <f t="shared" si="77"/>
        <v>2175.84</v>
      </c>
      <c r="AI249" s="170">
        <f t="shared" si="77"/>
        <v>2179.7399999999998</v>
      </c>
      <c r="AJ249" s="170">
        <f t="shared" si="77"/>
        <v>2168.7399999999998</v>
      </c>
      <c r="AK249" s="170">
        <f t="shared" si="77"/>
        <v>2159.64</v>
      </c>
      <c r="AL249" s="170">
        <f t="shared" si="77"/>
        <v>2170.84</v>
      </c>
      <c r="AM249" s="170">
        <f t="shared" si="77"/>
        <v>2175.34</v>
      </c>
      <c r="AN249" s="170">
        <f t="shared" si="77"/>
        <v>2176.34</v>
      </c>
      <c r="AO249" s="170">
        <f t="shared" si="77"/>
        <v>2153.2399999999998</v>
      </c>
      <c r="AP249" s="170">
        <f t="shared" si="77"/>
        <v>2115.44</v>
      </c>
      <c r="AQ249" s="170">
        <f t="shared" si="77"/>
        <v>2188.94</v>
      </c>
      <c r="AR249" s="170">
        <f t="shared" si="77"/>
        <v>2215.2399999999998</v>
      </c>
      <c r="AS249" s="170">
        <f t="shared" si="77"/>
        <v>2215.2399999999998</v>
      </c>
      <c r="AT249" s="170">
        <f t="shared" si="77"/>
        <v>2203.14</v>
      </c>
      <c r="AU249" s="170">
        <f t="shared" si="77"/>
        <v>2177.94</v>
      </c>
      <c r="AV249" s="170">
        <f t="shared" si="77"/>
        <v>2130.1400000000003</v>
      </c>
      <c r="AW249" s="170">
        <f t="shared" si="77"/>
        <v>1860.94</v>
      </c>
      <c r="AX249" s="170">
        <f t="shared" si="77"/>
        <v>1555.1399999999999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78">C234</f>
        <v>0.64</v>
      </c>
      <c r="C270" s="173">
        <f t="shared" si="78"/>
        <v>0.64</v>
      </c>
      <c r="D270" s="173">
        <f t="shared" si="78"/>
        <v>0.64</v>
      </c>
      <c r="E270" s="173">
        <f t="shared" si="78"/>
        <v>0.64</v>
      </c>
      <c r="F270" s="173">
        <f t="shared" si="78"/>
        <v>0.64</v>
      </c>
      <c r="G270" s="173">
        <f t="shared" si="78"/>
        <v>0.64</v>
      </c>
      <c r="H270" s="173">
        <f t="shared" si="78"/>
        <v>0.64</v>
      </c>
      <c r="I270" s="173">
        <f t="shared" si="78"/>
        <v>0.64</v>
      </c>
      <c r="J270" s="173">
        <f t="shared" si="78"/>
        <v>0.64</v>
      </c>
      <c r="K270" s="173">
        <f t="shared" si="78"/>
        <v>0.64</v>
      </c>
      <c r="L270" s="173">
        <f t="shared" si="78"/>
        <v>0.64</v>
      </c>
      <c r="M270" s="173">
        <f t="shared" si="78"/>
        <v>0.64</v>
      </c>
      <c r="N270" s="173">
        <f t="shared" si="78"/>
        <v>0.64</v>
      </c>
      <c r="O270" s="173">
        <f t="shared" si="78"/>
        <v>0.64</v>
      </c>
      <c r="P270" s="173">
        <f t="shared" si="78"/>
        <v>0</v>
      </c>
      <c r="Q270" s="173">
        <f t="shared" si="78"/>
        <v>0</v>
      </c>
      <c r="R270" s="173">
        <f t="shared" si="78"/>
        <v>0</v>
      </c>
      <c r="S270" s="173">
        <f t="shared" si="78"/>
        <v>0</v>
      </c>
      <c r="T270" s="173">
        <f t="shared" si="78"/>
        <v>0</v>
      </c>
      <c r="U270" s="173">
        <f t="shared" si="78"/>
        <v>0</v>
      </c>
      <c r="V270" s="173">
        <f t="shared" si="78"/>
        <v>0</v>
      </c>
      <c r="W270" s="173">
        <f t="shared" si="78"/>
        <v>0</v>
      </c>
      <c r="X270" s="173">
        <f t="shared" si="78"/>
        <v>0</v>
      </c>
      <c r="Y270" s="173">
        <f t="shared" si="78"/>
        <v>0</v>
      </c>
      <c r="Z270" s="173">
        <f t="shared" si="78"/>
        <v>0</v>
      </c>
      <c r="AA270" s="173">
        <f t="shared" si="78"/>
        <v>0</v>
      </c>
      <c r="AB270" s="173">
        <f t="shared" si="78"/>
        <v>0</v>
      </c>
      <c r="AC270" s="173">
        <f t="shared" si="78"/>
        <v>0</v>
      </c>
      <c r="AD270" s="173">
        <f t="shared" si="78"/>
        <v>0</v>
      </c>
      <c r="AE270" s="173">
        <f t="shared" si="78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79">IF(B238&lt;100,"",B238-520)</f>
        <v/>
      </c>
      <c r="C271" s="174" t="str">
        <f t="shared" si="79"/>
        <v/>
      </c>
      <c r="D271" s="174" t="str">
        <f t="shared" si="79"/>
        <v/>
      </c>
      <c r="E271" s="174" t="str">
        <f t="shared" si="79"/>
        <v/>
      </c>
      <c r="F271" s="174" t="str">
        <f t="shared" si="79"/>
        <v/>
      </c>
      <c r="G271" s="174" t="str">
        <f t="shared" si="79"/>
        <v/>
      </c>
      <c r="H271" s="174" t="str">
        <f t="shared" si="79"/>
        <v/>
      </c>
      <c r="I271" s="174" t="str">
        <f t="shared" si="79"/>
        <v/>
      </c>
      <c r="J271" s="174" t="str">
        <f t="shared" si="79"/>
        <v/>
      </c>
      <c r="K271" s="174" t="str">
        <f t="shared" si="79"/>
        <v/>
      </c>
      <c r="L271" s="174" t="str">
        <f t="shared" si="79"/>
        <v/>
      </c>
      <c r="M271" s="174" t="str">
        <f t="shared" si="79"/>
        <v/>
      </c>
      <c r="N271" s="174" t="str">
        <f t="shared" si="79"/>
        <v/>
      </c>
      <c r="O271" s="174" t="str">
        <f t="shared" si="79"/>
        <v/>
      </c>
      <c r="P271" s="174" t="str">
        <f t="shared" si="79"/>
        <v/>
      </c>
      <c r="Q271" s="174" t="str">
        <f t="shared" si="79"/>
        <v/>
      </c>
      <c r="R271" s="174" t="str">
        <f t="shared" si="79"/>
        <v/>
      </c>
      <c r="S271" s="174" t="str">
        <f t="shared" si="79"/>
        <v/>
      </c>
      <c r="T271" s="174" t="str">
        <f t="shared" si="79"/>
        <v/>
      </c>
      <c r="U271" s="174" t="str">
        <f t="shared" si="79"/>
        <v/>
      </c>
      <c r="V271" s="174" t="str">
        <f t="shared" si="79"/>
        <v/>
      </c>
      <c r="W271" s="174" t="str">
        <f t="shared" si="79"/>
        <v/>
      </c>
      <c r="X271" s="174" t="str">
        <f t="shared" si="79"/>
        <v/>
      </c>
      <c r="Y271" s="174" t="str">
        <f t="shared" si="79"/>
        <v/>
      </c>
      <c r="Z271" s="174" t="str">
        <f t="shared" si="79"/>
        <v/>
      </c>
      <c r="AA271" s="174" t="str">
        <f t="shared" si="79"/>
        <v/>
      </c>
      <c r="AB271" s="174" t="str">
        <f t="shared" si="79"/>
        <v/>
      </c>
      <c r="AC271" s="174" t="str">
        <f t="shared" si="79"/>
        <v/>
      </c>
      <c r="AD271" s="174" t="str">
        <f t="shared" si="79"/>
        <v/>
      </c>
      <c r="AE271" s="174" t="str">
        <f t="shared" si="79"/>
        <v/>
      </c>
      <c r="AF271" s="174" t="str">
        <f t="shared" si="79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80">IF(B239&lt;100,"",B239-620)</f>
        <v/>
      </c>
      <c r="C272" s="174" t="str">
        <f t="shared" si="80"/>
        <v/>
      </c>
      <c r="D272" s="174" t="str">
        <f t="shared" si="80"/>
        <v/>
      </c>
      <c r="E272" s="174" t="str">
        <f t="shared" si="80"/>
        <v/>
      </c>
      <c r="F272" s="174" t="str">
        <f t="shared" si="80"/>
        <v/>
      </c>
      <c r="G272" s="174" t="str">
        <f t="shared" si="80"/>
        <v/>
      </c>
      <c r="H272" s="174" t="str">
        <f t="shared" si="80"/>
        <v/>
      </c>
      <c r="I272" s="174" t="str">
        <f t="shared" si="80"/>
        <v/>
      </c>
      <c r="J272" s="174" t="str">
        <f t="shared" si="80"/>
        <v/>
      </c>
      <c r="K272" s="174" t="str">
        <f t="shared" si="80"/>
        <v/>
      </c>
      <c r="L272" s="174" t="str">
        <f t="shared" si="80"/>
        <v/>
      </c>
      <c r="M272" s="174" t="str">
        <f t="shared" si="80"/>
        <v/>
      </c>
      <c r="N272" s="174" t="str">
        <f t="shared" si="80"/>
        <v/>
      </c>
      <c r="O272" s="174" t="str">
        <f t="shared" si="80"/>
        <v/>
      </c>
      <c r="P272" s="174" t="str">
        <f t="shared" si="80"/>
        <v/>
      </c>
      <c r="Q272" s="174" t="str">
        <f t="shared" si="80"/>
        <v/>
      </c>
      <c r="R272" s="174" t="str">
        <f t="shared" si="80"/>
        <v/>
      </c>
      <c r="S272" s="174" t="str">
        <f t="shared" si="80"/>
        <v/>
      </c>
      <c r="T272" s="174" t="str">
        <f t="shared" si="80"/>
        <v/>
      </c>
      <c r="U272" s="174" t="str">
        <f t="shared" si="80"/>
        <v/>
      </c>
      <c r="V272" s="174" t="str">
        <f t="shared" si="80"/>
        <v/>
      </c>
      <c r="W272" s="174" t="str">
        <f t="shared" si="80"/>
        <v/>
      </c>
      <c r="X272" s="174" t="str">
        <f t="shared" si="80"/>
        <v/>
      </c>
      <c r="Y272" s="174" t="str">
        <f t="shared" si="80"/>
        <v/>
      </c>
      <c r="Z272" s="174" t="str">
        <f t="shared" si="80"/>
        <v/>
      </c>
      <c r="AA272" s="174" t="str">
        <f t="shared" si="80"/>
        <v/>
      </c>
      <c r="AB272" s="174" t="str">
        <f t="shared" si="80"/>
        <v/>
      </c>
      <c r="AC272" s="174" t="str">
        <f t="shared" si="80"/>
        <v/>
      </c>
      <c r="AD272" s="174" t="str">
        <f t="shared" si="80"/>
        <v/>
      </c>
      <c r="AE272" s="174" t="str">
        <f t="shared" si="80"/>
        <v/>
      </c>
      <c r="AF272" s="174" t="str">
        <f t="shared" si="80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81">IF(B240&lt;100,"",B240-330)</f>
        <v/>
      </c>
      <c r="C273" s="174" t="str">
        <f t="shared" si="81"/>
        <v/>
      </c>
      <c r="D273" s="174" t="str">
        <f t="shared" si="81"/>
        <v/>
      </c>
      <c r="E273" s="174" t="str">
        <f t="shared" si="81"/>
        <v/>
      </c>
      <c r="F273" s="174" t="str">
        <f t="shared" si="81"/>
        <v/>
      </c>
      <c r="G273" s="174" t="str">
        <f t="shared" si="81"/>
        <v/>
      </c>
      <c r="H273" s="174" t="str">
        <f t="shared" si="81"/>
        <v/>
      </c>
      <c r="I273" s="174" t="str">
        <f t="shared" si="81"/>
        <v/>
      </c>
      <c r="J273" s="174" t="str">
        <f t="shared" si="81"/>
        <v/>
      </c>
      <c r="K273" s="174" t="str">
        <f t="shared" si="81"/>
        <v/>
      </c>
      <c r="L273" s="174" t="str">
        <f t="shared" si="81"/>
        <v/>
      </c>
      <c r="M273" s="174" t="str">
        <f t="shared" si="81"/>
        <v/>
      </c>
      <c r="N273" s="174" t="str">
        <f t="shared" si="81"/>
        <v/>
      </c>
      <c r="O273" s="174" t="str">
        <f t="shared" si="81"/>
        <v/>
      </c>
      <c r="P273" s="174" t="str">
        <f t="shared" si="81"/>
        <v/>
      </c>
      <c r="Q273" s="174" t="str">
        <f t="shared" si="81"/>
        <v/>
      </c>
      <c r="R273" s="174" t="str">
        <f t="shared" si="81"/>
        <v/>
      </c>
      <c r="S273" s="174" t="str">
        <f t="shared" si="81"/>
        <v/>
      </c>
      <c r="T273" s="174" t="str">
        <f t="shared" si="81"/>
        <v/>
      </c>
      <c r="U273" s="174" t="str">
        <f t="shared" si="81"/>
        <v/>
      </c>
      <c r="V273" s="174" t="str">
        <f t="shared" si="81"/>
        <v/>
      </c>
      <c r="W273" s="174" t="str">
        <f t="shared" si="81"/>
        <v/>
      </c>
      <c r="X273" s="174" t="str">
        <f t="shared" si="81"/>
        <v/>
      </c>
      <c r="Y273" s="174" t="str">
        <f t="shared" si="81"/>
        <v/>
      </c>
      <c r="Z273" s="174" t="str">
        <f t="shared" si="81"/>
        <v/>
      </c>
      <c r="AA273" s="174" t="str">
        <f t="shared" si="81"/>
        <v/>
      </c>
      <c r="AB273" s="174" t="str">
        <f t="shared" si="81"/>
        <v/>
      </c>
      <c r="AC273" s="174" t="str">
        <f t="shared" si="81"/>
        <v/>
      </c>
      <c r="AD273" s="174" t="str">
        <f t="shared" si="81"/>
        <v/>
      </c>
      <c r="AE273" s="174" t="str">
        <f t="shared" si="81"/>
        <v/>
      </c>
      <c r="AF273" s="174" t="str">
        <f t="shared" si="81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82">IF(B241&lt;100,"",B241-1500)</f>
        <v/>
      </c>
      <c r="C274" s="174" t="str">
        <f t="shared" si="82"/>
        <v/>
      </c>
      <c r="D274" s="174" t="str">
        <f t="shared" si="82"/>
        <v/>
      </c>
      <c r="E274" s="174" t="str">
        <f t="shared" si="82"/>
        <v/>
      </c>
      <c r="F274" s="174" t="str">
        <f t="shared" si="82"/>
        <v/>
      </c>
      <c r="G274" s="174" t="str">
        <f t="shared" si="82"/>
        <v/>
      </c>
      <c r="H274" s="174" t="str">
        <f t="shared" si="82"/>
        <v/>
      </c>
      <c r="I274" s="174" t="str">
        <f t="shared" si="82"/>
        <v/>
      </c>
      <c r="J274" s="174" t="str">
        <f t="shared" si="82"/>
        <v/>
      </c>
      <c r="K274" s="174" t="str">
        <f t="shared" si="82"/>
        <v/>
      </c>
      <c r="L274" s="174" t="str">
        <f t="shared" si="82"/>
        <v/>
      </c>
      <c r="M274" s="174" t="str">
        <f t="shared" si="82"/>
        <v/>
      </c>
      <c r="N274" s="174" t="str">
        <f t="shared" si="82"/>
        <v/>
      </c>
      <c r="O274" s="174" t="str">
        <f t="shared" si="82"/>
        <v/>
      </c>
      <c r="P274" s="174" t="str">
        <f t="shared" si="82"/>
        <v/>
      </c>
      <c r="Q274" s="174" t="str">
        <f t="shared" si="82"/>
        <v/>
      </c>
      <c r="R274" s="174" t="str">
        <f t="shared" si="82"/>
        <v/>
      </c>
      <c r="S274" s="174" t="str">
        <f t="shared" si="82"/>
        <v/>
      </c>
      <c r="T274" s="174" t="str">
        <f t="shared" si="82"/>
        <v/>
      </c>
      <c r="U274" s="174" t="str">
        <f t="shared" si="82"/>
        <v/>
      </c>
      <c r="V274" s="174" t="str">
        <f t="shared" si="82"/>
        <v/>
      </c>
      <c r="W274" s="174" t="str">
        <f t="shared" si="82"/>
        <v/>
      </c>
      <c r="X274" s="174" t="str">
        <f t="shared" si="82"/>
        <v/>
      </c>
      <c r="Y274" s="174" t="str">
        <f t="shared" si="82"/>
        <v/>
      </c>
      <c r="Z274" s="174" t="str">
        <f t="shared" si="82"/>
        <v/>
      </c>
      <c r="AA274" s="174" t="str">
        <f t="shared" si="82"/>
        <v/>
      </c>
      <c r="AB274" s="174" t="str">
        <f t="shared" si="82"/>
        <v/>
      </c>
      <c r="AC274" s="174" t="str">
        <f t="shared" si="82"/>
        <v/>
      </c>
      <c r="AD274" s="174" t="str">
        <f t="shared" si="82"/>
        <v/>
      </c>
      <c r="AE274" s="174" t="str">
        <f t="shared" si="82"/>
        <v/>
      </c>
      <c r="AF274" s="174" t="str">
        <f t="shared" si="82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707" priority="64">
      <formula>$AH11=0</formula>
    </cfRule>
  </conditionalFormatting>
  <conditionalFormatting sqref="B8 M8 S8 AB8">
    <cfRule type="expression" dxfId="706" priority="115">
      <formula>AND(C$9&gt;=14/24,C$9&lt;20/24)</formula>
    </cfRule>
    <cfRule type="expression" dxfId="705" priority="116">
      <formula>AND(C$9&gt;=8/24,C$9&lt;14/24)</formula>
    </cfRule>
    <cfRule type="expression" dxfId="704" priority="117">
      <formula>C$9&lt;8/24</formula>
    </cfRule>
  </conditionalFormatting>
  <conditionalFormatting sqref="B54:C54">
    <cfRule type="expression" dxfId="703" priority="38">
      <formula>B$9&gt;=20/24</formula>
    </cfRule>
    <cfRule type="expression" dxfId="702" priority="39">
      <formula>AND(B$9&gt;=14/24,B$9&lt;20/24)</formula>
    </cfRule>
    <cfRule type="expression" dxfId="701" priority="40">
      <formula>AND(B$9&gt;=8/24,B$9&lt;14/24)</formula>
    </cfRule>
    <cfRule type="expression" dxfId="700" priority="41">
      <formula>B$9&lt;8/24</formula>
    </cfRule>
  </conditionalFormatting>
  <conditionalFormatting sqref="B54:C66 D55:J66 K60:AF66">
    <cfRule type="expression" dxfId="699" priority="33">
      <formula>B54&gt;$AG54</formula>
    </cfRule>
  </conditionalFormatting>
  <conditionalFormatting sqref="B55:J59">
    <cfRule type="expression" dxfId="698" priority="60">
      <formula>B$9&gt;=20/24</formula>
    </cfRule>
    <cfRule type="expression" dxfId="697" priority="61">
      <formula>AND(B$9&gt;=14/24,B$9&lt;20/24)</formula>
    </cfRule>
    <cfRule type="expression" dxfId="696" priority="62">
      <formula>AND(B$9&gt;=8/24,B$9&lt;14/24)</formula>
    </cfRule>
    <cfRule type="expression" dxfId="695" priority="63">
      <formula>B$9&lt;8/24</formula>
    </cfRule>
  </conditionalFormatting>
  <conditionalFormatting sqref="B60:AF60">
    <cfRule type="expression" dxfId="694" priority="51">
      <formula>B$9&gt;=20/24</formula>
    </cfRule>
    <cfRule type="expression" dxfId="693" priority="52">
      <formula>AND(B$9&gt;=14/24,B$9&lt;20/24)</formula>
    </cfRule>
    <cfRule type="expression" dxfId="692" priority="53">
      <formula>AND(B$9&gt;=8/24,B$9&lt;14/24)</formula>
    </cfRule>
    <cfRule type="expression" dxfId="691" priority="54">
      <formula>B$9&lt;8/24</formula>
    </cfRule>
  </conditionalFormatting>
  <conditionalFormatting sqref="B61:AF66">
    <cfRule type="expression" dxfId="690" priority="34">
      <formula>B$9&gt;=20/24</formula>
    </cfRule>
    <cfRule type="expression" dxfId="689" priority="35">
      <formula>AND(B$9&gt;=14/24,B$9&lt;20/24)</formula>
    </cfRule>
    <cfRule type="expression" dxfId="688" priority="36">
      <formula>AND(B$9&gt;=8/24,B$9&lt;14/24)</formula>
    </cfRule>
    <cfRule type="expression" dxfId="687" priority="37">
      <formula>B$9&lt;8/24</formula>
    </cfRule>
  </conditionalFormatting>
  <conditionalFormatting sqref="B9:AF45">
    <cfRule type="expression" dxfId="686" priority="23">
      <formula>B$9&gt;=20/24</formula>
    </cfRule>
    <cfRule type="expression" dxfId="685" priority="24">
      <formula>AND(B$9&gt;=14/24,B$9&lt;20/24)</formula>
    </cfRule>
    <cfRule type="expression" dxfId="684" priority="25">
      <formula>AND(B$9&gt;=8/24,B$9&lt;14/24)</formula>
    </cfRule>
    <cfRule type="expression" dxfId="683" priority="26">
      <formula>B$9&lt;8/24</formula>
    </cfRule>
  </conditionalFormatting>
  <conditionalFormatting sqref="B11:AF46">
    <cfRule type="expression" dxfId="682" priority="22">
      <formula>B11&gt;$AG11</formula>
    </cfRule>
  </conditionalFormatting>
  <conditionalFormatting sqref="B46:AF46">
    <cfRule type="expression" dxfId="681" priority="18">
      <formula>B$9&gt;=20/24</formula>
    </cfRule>
    <cfRule type="expression" dxfId="680" priority="19">
      <formula>AND(B$9&gt;=14/24,B$9&lt;20/24)</formula>
    </cfRule>
    <cfRule type="expression" dxfId="679" priority="20">
      <formula>AND(B$9&gt;=8/24,B$9&lt;14/24)</formula>
    </cfRule>
    <cfRule type="expression" dxfId="678" priority="21">
      <formula>B$9&lt;8/24</formula>
    </cfRule>
  </conditionalFormatting>
  <conditionalFormatting sqref="B47:AF47">
    <cfRule type="expression" dxfId="677" priority="32">
      <formula>B47&gt;$AG47</formula>
    </cfRule>
  </conditionalFormatting>
  <conditionalFormatting sqref="B47:AF49">
    <cfRule type="expression" dxfId="676" priority="28">
      <formula>B$9&gt;=20/24</formula>
    </cfRule>
    <cfRule type="expression" dxfId="675" priority="29">
      <formula>AND(B$9&gt;=14/24,B$9&lt;20/24)</formula>
    </cfRule>
    <cfRule type="expression" dxfId="674" priority="30">
      <formula>AND(B$9&gt;=8/24,B$9&lt;14/24)</formula>
    </cfRule>
    <cfRule type="expression" dxfId="673" priority="31">
      <formula>B$9&lt;8/24</formula>
    </cfRule>
  </conditionalFormatting>
  <conditionalFormatting sqref="B48:AF53">
    <cfRule type="expression" dxfId="672" priority="27">
      <formula>B48&gt;$AG48</formula>
    </cfRule>
  </conditionalFormatting>
  <conditionalFormatting sqref="B51:AF53">
    <cfRule type="expression" dxfId="671" priority="47">
      <formula>B$9&gt;=20/24</formula>
    </cfRule>
    <cfRule type="expression" dxfId="670" priority="48">
      <formula>AND(B$9&gt;=14/24,B$9&lt;20/24)</formula>
    </cfRule>
    <cfRule type="expression" dxfId="669" priority="49">
      <formula>AND(B$9&gt;=8/24,B$9&lt;14/24)</formula>
    </cfRule>
    <cfRule type="expression" dxfId="668" priority="50">
      <formula>B$9&lt;8/24</formula>
    </cfRule>
  </conditionalFormatting>
  <conditionalFormatting sqref="B69:AF71">
    <cfRule type="expression" dxfId="667" priority="55">
      <formula>B69&gt;$AG69</formula>
    </cfRule>
    <cfRule type="expression" dxfId="666" priority="56">
      <formula>B$9&gt;=20/24</formula>
    </cfRule>
    <cfRule type="expression" dxfId="665" priority="57">
      <formula>AND(B$9&gt;=14/24,B$9&lt;20/24)</formula>
    </cfRule>
    <cfRule type="expression" dxfId="664" priority="58">
      <formula>AND(B$9&gt;=8/24,B$9&lt;14/24)</formula>
    </cfRule>
    <cfRule type="expression" dxfId="663" priority="59">
      <formula>B$9&lt;8/24</formula>
    </cfRule>
  </conditionalFormatting>
  <conditionalFormatting sqref="B73:AF91">
    <cfRule type="expression" dxfId="662" priority="1">
      <formula>B$9&gt;=20/24</formula>
    </cfRule>
    <cfRule type="expression" dxfId="661" priority="2">
      <formula>AND(B$9&gt;=14/24,B$9&lt;20/24)</formula>
    </cfRule>
    <cfRule type="expression" dxfId="660" priority="3">
      <formula>AND(B$9&gt;=8/24,B$9&lt;14/24)</formula>
    </cfRule>
    <cfRule type="expression" dxfId="659" priority="4">
      <formula>B$9&lt;8/24</formula>
    </cfRule>
  </conditionalFormatting>
  <conditionalFormatting sqref="B111:AF120">
    <cfRule type="expression" dxfId="658" priority="14">
      <formula>B$9&gt;=20/24</formula>
    </cfRule>
    <cfRule type="expression" dxfId="657" priority="15">
      <formula>AND(B$9&gt;=14/24,B$9&lt;20/24)</formula>
    </cfRule>
    <cfRule type="expression" dxfId="656" priority="16">
      <formula>AND(B$9&gt;=8/24,B$9&lt;14/24)</formula>
    </cfRule>
    <cfRule type="expression" dxfId="655" priority="17">
      <formula>B$9&lt;8/24</formula>
    </cfRule>
  </conditionalFormatting>
  <conditionalFormatting sqref="B227:AF227 D229:AF230 B229:B235 D231:H231 J231:AF231 D232:AF235 U248:AF248">
    <cfRule type="expression" dxfId="654" priority="108">
      <formula>B$9&gt;=20/24</formula>
    </cfRule>
    <cfRule type="expression" dxfId="653" priority="109">
      <formula>AND(B$9&gt;=14/24,B$9&lt;20/24)</formula>
    </cfRule>
    <cfRule type="expression" dxfId="652" priority="110">
      <formula>AND(B$9&gt;=8/24,B$9&lt;14/24)</formula>
    </cfRule>
    <cfRule type="expression" dxfId="651" priority="111">
      <formula>B$9&lt;8/24</formula>
    </cfRule>
  </conditionalFormatting>
  <conditionalFormatting sqref="B67:AG68 B72:AG72">
    <cfRule type="expression" dxfId="650" priority="42">
      <formula>B67&gt;$AG67</formula>
    </cfRule>
  </conditionalFormatting>
  <conditionalFormatting sqref="B72:AG72 B93:AF109">
    <cfRule type="expression" dxfId="649" priority="43">
      <formula>B$9&gt;=20/24</formula>
    </cfRule>
    <cfRule type="expression" dxfId="648" priority="44">
      <formula>AND(B$9&gt;=14/24,B$9&lt;20/24)</formula>
    </cfRule>
    <cfRule type="expression" dxfId="647" priority="45">
      <formula>AND(B$9&gt;=8/24,B$9&lt;14/24)</formula>
    </cfRule>
    <cfRule type="expression" dxfId="646" priority="46">
      <formula>B$9&lt;8/24</formula>
    </cfRule>
  </conditionalFormatting>
  <conditionalFormatting sqref="K55:AF59">
    <cfRule type="expression" dxfId="645" priority="5">
      <formula>K55&gt;$AG55</formula>
    </cfRule>
  </conditionalFormatting>
  <conditionalFormatting sqref="D54:AG54">
    <cfRule type="expression" dxfId="644" priority="76">
      <formula>D54&gt;$AG54</formula>
    </cfRule>
    <cfRule type="expression" dxfId="643" priority="77">
      <formula>D$9&gt;=20/24</formula>
    </cfRule>
    <cfRule type="expression" dxfId="642" priority="78">
      <formula>AND(D$9&gt;=14/24,D$9&lt;20/24)</formula>
    </cfRule>
    <cfRule type="expression" dxfId="641" priority="79">
      <formula>AND(D$9&gt;=8/24,D$9&lt;14/24)</formula>
    </cfRule>
    <cfRule type="expression" dxfId="640" priority="80">
      <formula>D$9&lt;8/24</formula>
    </cfRule>
  </conditionalFormatting>
  <conditionalFormatting sqref="K55:L57">
    <cfRule type="expression" dxfId="639" priority="89">
      <formula>K$9&gt;=20/24</formula>
    </cfRule>
    <cfRule type="expression" dxfId="638" priority="90">
      <formula>AND(K$9&gt;=14/24,K$9&lt;20/24)</formula>
    </cfRule>
    <cfRule type="expression" dxfId="637" priority="91">
      <formula>AND(K$9&gt;=8/24,K$9&lt;14/24)</formula>
    </cfRule>
    <cfRule type="expression" dxfId="636" priority="92">
      <formula>K$9&lt;8/24</formula>
    </cfRule>
  </conditionalFormatting>
  <conditionalFormatting sqref="M55:AF59">
    <cfRule type="expression" dxfId="635" priority="93">
      <formula>M$9&gt;=20/24</formula>
    </cfRule>
    <cfRule type="expression" dxfId="634" priority="94">
      <formula>AND(M$9&gt;=14/24,M$9&lt;20/24)</formula>
    </cfRule>
    <cfRule type="expression" dxfId="633" priority="95">
      <formula>AND(M$9&gt;=8/24,M$9&lt;14/24)</formula>
    </cfRule>
    <cfRule type="expression" dxfId="632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631" priority="114">
      <formula>C$9&gt;=20/24</formula>
    </cfRule>
  </conditionalFormatting>
  <conditionalFormatting sqref="S8">
    <cfRule type="expression" dxfId="630" priority="101">
      <formula>U$9&gt;=20/24</formula>
    </cfRule>
    <cfRule type="expression" dxfId="629" priority="102">
      <formula>AND(U$9&gt;=14/24,U$9&lt;20/24)</formula>
    </cfRule>
    <cfRule type="expression" dxfId="628" priority="103">
      <formula>AND(U$9&gt;=8/24,U$9&lt;14/24)</formula>
    </cfRule>
    <cfRule type="expression" dxfId="627" priority="104">
      <formula>U$9&lt;8/24</formula>
    </cfRule>
  </conditionalFormatting>
  <conditionalFormatting sqref="T248">
    <cfRule type="expression" dxfId="626" priority="126">
      <formula>AX$9&gt;=20/24</formula>
    </cfRule>
    <cfRule type="expression" dxfId="625" priority="127">
      <formula>AND(AX$9&gt;=14/24,AX$9&lt;20/24)</formula>
    </cfRule>
    <cfRule type="expression" dxfId="624" priority="128">
      <formula>AND(AX$9&gt;=8/24,AX$9&lt;14/24)</formula>
    </cfRule>
    <cfRule type="expression" dxfId="62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622" priority="97">
      <formula>AD$9&gt;=20/24</formula>
    </cfRule>
    <cfRule type="expression" dxfId="621" priority="98">
      <formula>AND(AD$9&gt;=14/24,AD$9&lt;20/24)</formula>
    </cfRule>
    <cfRule type="expression" dxfId="620" priority="99">
      <formula>AND(AD$9&gt;=8/24,AD$9&lt;14/24)</formula>
    </cfRule>
    <cfRule type="expression" dxfId="619" priority="100">
      <formula>AD$9&lt;8/24</formula>
    </cfRule>
  </conditionalFormatting>
  <conditionalFormatting sqref="AG50">
    <cfRule type="expression" dxfId="618" priority="84">
      <formula>AG50&gt;$AG50</formula>
    </cfRule>
  </conditionalFormatting>
  <conditionalFormatting sqref="AG89">
    <cfRule type="expression" dxfId="617" priority="85">
      <formula>AG$9&gt;=20/24</formula>
    </cfRule>
    <cfRule type="expression" dxfId="616" priority="86">
      <formula>AND(AG$9&gt;=14/24,AG$9&lt;20/24)</formula>
    </cfRule>
    <cfRule type="expression" dxfId="615" priority="87">
      <formula>AND(AG$9&gt;=8/24,AG$9&lt;14/24)</formula>
    </cfRule>
    <cfRule type="expression" dxfId="614" priority="88">
      <formula>AG$9&lt;8/24</formula>
    </cfRule>
  </conditionalFormatting>
  <conditionalFormatting sqref="AG248">
    <cfRule type="expression" dxfId="613" priority="118">
      <formula>B$9&gt;=20/24</formula>
    </cfRule>
    <cfRule type="expression" dxfId="612" priority="119">
      <formula>AND(B$9&gt;=14/24,B$9&lt;20/24)</formula>
    </cfRule>
    <cfRule type="expression" dxfId="611" priority="120">
      <formula>AND(B$9&gt;=8/24,B$9&lt;14/24)</formula>
    </cfRule>
    <cfRule type="expression" dxfId="610" priority="121">
      <formula>B$9&lt;8/24</formula>
    </cfRule>
  </conditionalFormatting>
  <conditionalFormatting sqref="AH248:AX248">
    <cfRule type="expression" dxfId="609" priority="122">
      <formula>AG$9&gt;=20/24</formula>
    </cfRule>
    <cfRule type="expression" dxfId="608" priority="123">
      <formula>AND(AG$9&gt;=14/24,AG$9&lt;20/24)</formula>
    </cfRule>
    <cfRule type="expression" dxfId="607" priority="124">
      <formula>AND(AG$9&gt;=8/24,AG$9&lt;14/24)</formula>
    </cfRule>
    <cfRule type="expression" dxfId="606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605" priority="131">
      <formula>AJ$9&gt;=20/24</formula>
    </cfRule>
    <cfRule type="expression" dxfId="604" priority="132">
      <formula>AND(AJ$9&gt;=14/24,AJ$9&lt;20/24)</formula>
    </cfRule>
    <cfRule type="expression" dxfId="603" priority="133">
      <formula>AND(AJ$9&gt;=8/24,AJ$9&lt;14/24)</formula>
    </cfRule>
    <cfRule type="expression" dxfId="602" priority="134">
      <formula>AJ$9&lt;8/24</formula>
    </cfRule>
  </conditionalFormatting>
  <conditionalFormatting sqref="AL80:AN80 AL86:AN86">
    <cfRule type="expression" dxfId="601" priority="72">
      <formula>AL$9&gt;=20/24</formula>
    </cfRule>
    <cfRule type="expression" dxfId="600" priority="73">
      <formula>AND(AL$9&gt;=14/24,AL$9&lt;20/24)</formula>
    </cfRule>
    <cfRule type="expression" dxfId="599" priority="74">
      <formula>AND(AL$9&gt;=8/24,AL$9&lt;14/24)</formula>
    </cfRule>
    <cfRule type="expression" dxfId="598" priority="75">
      <formula>AL$9&lt;8/24</formula>
    </cfRule>
  </conditionalFormatting>
  <conditionalFormatting sqref="AN81:AN84">
    <cfRule type="expression" dxfId="597" priority="68">
      <formula>AN$9&gt;=20/24</formula>
    </cfRule>
    <cfRule type="expression" dxfId="596" priority="69">
      <formula>AND(AN$9&gt;=14/24,AN$9&lt;20/24)</formula>
    </cfRule>
    <cfRule type="expression" dxfId="595" priority="70">
      <formula>AND(AN$9&gt;=8/24,AN$9&lt;14/24)</formula>
    </cfRule>
    <cfRule type="expression" dxfId="594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EEC6-7D9F-408D-826B-38AFF93C8F27}">
  <sheetPr codeName="Sheet33"/>
  <dimension ref="A1:CJ281"/>
  <sheetViews>
    <sheetView tabSelected="1" workbookViewId="0">
      <pane xSplit="1" ySplit="10" topLeftCell="N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5" sqref="B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2080/05/29</v>
      </c>
      <c r="C4" s="196"/>
      <c r="D4" s="196"/>
      <c r="E4" s="197" t="str">
        <f ca="1">"2080/"&amp;"05/"&amp;INT(MID(CELL("filename",G6),FIND("]",CELL("filename",G6))+1,200))</f>
        <v>2080/05/29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11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27.9</v>
      </c>
      <c r="Z5" s="30">
        <f t="shared" si="0"/>
        <v>28.5</v>
      </c>
      <c r="AA5" s="30">
        <f t="shared" si="0"/>
        <v>43.3</v>
      </c>
      <c r="AB5" s="30">
        <f t="shared" si="0"/>
        <v>10</v>
      </c>
      <c r="AC5" s="30">
        <f t="shared" si="0"/>
        <v>9.4</v>
      </c>
      <c r="AD5" s="30">
        <f t="shared" si="0"/>
        <v>3.6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2195MW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Load=1982</v>
      </c>
      <c r="B7" s="35">
        <f t="shared" ref="B7:AF7" si="1">B91</f>
        <v>2034.94</v>
      </c>
      <c r="C7" s="35">
        <f t="shared" si="1"/>
        <v>2034.94</v>
      </c>
      <c r="D7" s="35">
        <f t="shared" si="1"/>
        <v>2074.1400000000003</v>
      </c>
      <c r="E7" s="35">
        <f t="shared" si="1"/>
        <v>2064.04</v>
      </c>
      <c r="F7" s="35">
        <f t="shared" si="1"/>
        <v>1981.7399999999998</v>
      </c>
      <c r="G7" s="35">
        <f t="shared" si="1"/>
        <v>2072.7399999999998</v>
      </c>
      <c r="H7" s="35">
        <f t="shared" si="1"/>
        <v>2072.7399999999998</v>
      </c>
      <c r="I7" s="35">
        <f t="shared" si="1"/>
        <v>2089.04</v>
      </c>
      <c r="J7" s="35">
        <f t="shared" si="1"/>
        <v>2110.04</v>
      </c>
      <c r="K7" s="35">
        <f t="shared" si="1"/>
        <v>2158.2399999999998</v>
      </c>
      <c r="L7" s="35">
        <f t="shared" si="1"/>
        <v>2189.54</v>
      </c>
      <c r="M7" s="35">
        <f t="shared" si="1"/>
        <v>2194.54</v>
      </c>
      <c r="N7" s="35">
        <f>N91</f>
        <v>2174.7400000000002</v>
      </c>
      <c r="O7" s="35">
        <f t="shared" si="1"/>
        <v>2136.2399999999998</v>
      </c>
      <c r="P7" s="35">
        <f t="shared" si="1"/>
        <v>2132.2399999999998</v>
      </c>
      <c r="Q7" s="35">
        <f t="shared" si="1"/>
        <v>2141.54</v>
      </c>
      <c r="R7" s="35">
        <f t="shared" si="1"/>
        <v>2109.2399999999998</v>
      </c>
      <c r="S7" s="35">
        <f t="shared" si="1"/>
        <v>2109.2399999999998</v>
      </c>
      <c r="T7" s="35">
        <f t="shared" si="1"/>
        <v>2146.64</v>
      </c>
      <c r="U7" s="35">
        <f t="shared" si="1"/>
        <v>2142.64</v>
      </c>
      <c r="V7" s="35">
        <f t="shared" si="1"/>
        <v>2140.34</v>
      </c>
      <c r="W7" s="35">
        <f t="shared" si="1"/>
        <v>2133.44</v>
      </c>
      <c r="X7" s="35">
        <f t="shared" si="1"/>
        <v>2109.94</v>
      </c>
      <c r="Y7" s="35">
        <f t="shared" si="1"/>
        <v>2109.94</v>
      </c>
      <c r="Z7" s="35">
        <f t="shared" si="1"/>
        <v>2245.1400000000003</v>
      </c>
      <c r="AA7" s="35">
        <f t="shared" si="1"/>
        <v>2226.54</v>
      </c>
      <c r="AB7" s="35">
        <f t="shared" si="1"/>
        <v>2235.7400000000002</v>
      </c>
      <c r="AC7" s="35">
        <f t="shared" si="1"/>
        <v>2179.54</v>
      </c>
      <c r="AD7" s="35">
        <f t="shared" si="1"/>
        <v>2174.94</v>
      </c>
      <c r="AE7" s="35">
        <f t="shared" si="1"/>
        <v>2132.94</v>
      </c>
      <c r="AF7" s="35">
        <f t="shared" si="1"/>
        <v>2131.7400000000002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89.9</v>
      </c>
      <c r="C11" s="45">
        <v>89.9</v>
      </c>
      <c r="D11" s="45">
        <v>89.9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90.1</v>
      </c>
      <c r="R11" s="45">
        <v>89.9</v>
      </c>
      <c r="S11" s="45">
        <v>89.9</v>
      </c>
      <c r="T11" s="45">
        <v>89.9</v>
      </c>
      <c r="U11" s="45">
        <v>89.9</v>
      </c>
      <c r="V11" s="45">
        <v>89.9</v>
      </c>
      <c r="W11" s="45">
        <v>89.9</v>
      </c>
      <c r="X11" s="45">
        <v>89.9</v>
      </c>
      <c r="Y11" s="45">
        <v>89.9</v>
      </c>
      <c r="Z11" s="45">
        <v>89.9</v>
      </c>
      <c r="AA11" s="45">
        <v>89.9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89.9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0</v>
      </c>
      <c r="C13" s="45">
        <v>0</v>
      </c>
      <c r="D13" s="45">
        <v>54</v>
      </c>
      <c r="E13" s="45">
        <v>54</v>
      </c>
      <c r="F13" s="45">
        <v>54</v>
      </c>
      <c r="G13" s="45">
        <v>54</v>
      </c>
      <c r="H13" s="45">
        <v>54</v>
      </c>
      <c r="I13" s="45">
        <v>54</v>
      </c>
      <c r="J13" s="45">
        <v>54</v>
      </c>
      <c r="K13" s="45">
        <v>54</v>
      </c>
      <c r="L13" s="45">
        <v>54</v>
      </c>
      <c r="M13" s="45">
        <v>54</v>
      </c>
      <c r="N13" s="45">
        <v>54</v>
      </c>
      <c r="O13" s="45">
        <v>54</v>
      </c>
      <c r="P13" s="45">
        <v>54.4</v>
      </c>
      <c r="Q13" s="45">
        <v>54.4</v>
      </c>
      <c r="R13" s="45">
        <v>54.6</v>
      </c>
      <c r="S13" s="45">
        <v>54.6</v>
      </c>
      <c r="T13" s="45">
        <v>54.6</v>
      </c>
      <c r="U13" s="45">
        <v>54.6</v>
      </c>
      <c r="V13" s="45">
        <v>54.6</v>
      </c>
      <c r="W13" s="45">
        <v>54.6</v>
      </c>
      <c r="X13" s="45">
        <v>54.6</v>
      </c>
      <c r="Y13" s="45">
        <v>54.6</v>
      </c>
      <c r="Z13" s="45">
        <v>54.6</v>
      </c>
      <c r="AA13" s="45">
        <v>54.6</v>
      </c>
      <c r="AB13" s="45">
        <v>54.6</v>
      </c>
      <c r="AC13" s="45">
        <v>54.6</v>
      </c>
      <c r="AD13" s="45">
        <v>54.6</v>
      </c>
      <c r="AE13" s="45">
        <v>54.6</v>
      </c>
      <c r="AF13" s="45">
        <v>54.6</v>
      </c>
      <c r="AG13" s="46">
        <v>52.4</v>
      </c>
      <c r="AH13" s="47">
        <f t="shared" si="2"/>
        <v>54.6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50.6</v>
      </c>
      <c r="N14" s="58">
        <v>50.6</v>
      </c>
      <c r="O14" s="58">
        <v>50.6</v>
      </c>
      <c r="P14" s="58">
        <v>50.5</v>
      </c>
      <c r="Q14" s="58">
        <v>50.7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58">
        <v>50.6</v>
      </c>
      <c r="AB14" s="58">
        <v>50.6</v>
      </c>
      <c r="AC14" s="58">
        <v>50.6</v>
      </c>
      <c r="AD14" s="58">
        <v>50.6</v>
      </c>
      <c r="AE14" s="58">
        <v>50.6</v>
      </c>
      <c r="AF14" s="58">
        <v>50.6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40</v>
      </c>
      <c r="E15" s="45">
        <v>40</v>
      </c>
      <c r="F15" s="45">
        <v>40</v>
      </c>
      <c r="G15" s="45">
        <v>40</v>
      </c>
      <c r="H15" s="45">
        <v>40</v>
      </c>
      <c r="I15" s="45">
        <v>46.7</v>
      </c>
      <c r="J15" s="45">
        <v>46.7</v>
      </c>
      <c r="K15" s="45">
        <v>46.7</v>
      </c>
      <c r="L15" s="45">
        <v>46.7</v>
      </c>
      <c r="M15" s="45">
        <v>46.9</v>
      </c>
      <c r="N15" s="45">
        <v>46.9</v>
      </c>
      <c r="O15" s="45">
        <v>46.9</v>
      </c>
      <c r="P15" s="45">
        <v>46.9</v>
      </c>
      <c r="Q15" s="45">
        <v>46.9</v>
      </c>
      <c r="R15" s="45">
        <v>46.9</v>
      </c>
      <c r="S15" s="45">
        <v>46.9</v>
      </c>
      <c r="T15" s="45">
        <v>46.9</v>
      </c>
      <c r="U15" s="45">
        <v>46.9</v>
      </c>
      <c r="V15" s="45">
        <v>46.9</v>
      </c>
      <c r="W15" s="45">
        <v>46.9</v>
      </c>
      <c r="X15" s="45">
        <v>46.9</v>
      </c>
      <c r="Y15" s="45">
        <v>46.9</v>
      </c>
      <c r="Z15" s="45">
        <v>46.9</v>
      </c>
      <c r="AA15" s="45">
        <v>46.9</v>
      </c>
      <c r="AB15" s="45">
        <v>46.9</v>
      </c>
      <c r="AC15" s="45">
        <v>46.9</v>
      </c>
      <c r="AD15" s="45">
        <v>46.9</v>
      </c>
      <c r="AE15" s="45">
        <v>46.9</v>
      </c>
      <c r="AF15" s="45">
        <v>46.9</v>
      </c>
      <c r="AG15" s="49">
        <v>45</v>
      </c>
      <c r="AH15" s="47">
        <f t="shared" si="2"/>
        <v>46.9</v>
      </c>
      <c r="AI15" s="48">
        <f t="shared" si="3"/>
        <v>40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27</v>
      </c>
      <c r="AC17" s="45">
        <v>27</v>
      </c>
      <c r="AD17" s="45">
        <v>27</v>
      </c>
      <c r="AE17" s="45">
        <v>27</v>
      </c>
      <c r="AF17" s="45">
        <v>27</v>
      </c>
      <c r="AG17" s="49">
        <v>42</v>
      </c>
      <c r="AH17" s="47">
        <f t="shared" si="2"/>
        <v>29</v>
      </c>
      <c r="AI17" s="48">
        <f t="shared" si="3"/>
        <v>27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19</v>
      </c>
      <c r="AG18" s="49">
        <v>38.46</v>
      </c>
      <c r="AH18" s="47">
        <f t="shared" si="2"/>
        <v>38.5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36</v>
      </c>
      <c r="D19" s="45">
        <v>36</v>
      </c>
      <c r="E19" s="45">
        <v>36</v>
      </c>
      <c r="F19" s="45">
        <v>36</v>
      </c>
      <c r="G19" s="45">
        <v>36</v>
      </c>
      <c r="H19" s="45">
        <v>36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>
        <v>36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30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10</v>
      </c>
      <c r="E20" s="45">
        <v>10</v>
      </c>
      <c r="F20" s="45">
        <v>10</v>
      </c>
      <c r="G20" s="45">
        <v>10</v>
      </c>
      <c r="H20" s="45">
        <v>10</v>
      </c>
      <c r="I20" s="45">
        <v>10</v>
      </c>
      <c r="J20" s="45">
        <v>10</v>
      </c>
      <c r="K20" s="45">
        <v>15</v>
      </c>
      <c r="L20" s="45">
        <v>30</v>
      </c>
      <c r="M20" s="45">
        <v>30</v>
      </c>
      <c r="N20" s="45">
        <v>24</v>
      </c>
      <c r="O20" s="45">
        <v>24</v>
      </c>
      <c r="P20" s="45">
        <v>18</v>
      </c>
      <c r="Q20" s="45">
        <v>20</v>
      </c>
      <c r="R20" s="45">
        <v>15</v>
      </c>
      <c r="S20" s="45">
        <v>15</v>
      </c>
      <c r="T20" s="45">
        <v>30</v>
      </c>
      <c r="U20" s="45">
        <v>30</v>
      </c>
      <c r="V20" s="45">
        <v>30</v>
      </c>
      <c r="W20" s="45">
        <v>30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23.5</v>
      </c>
      <c r="AF20" s="45">
        <v>23.5</v>
      </c>
      <c r="AG20" s="51">
        <v>30</v>
      </c>
      <c r="AH20" s="47">
        <f t="shared" si="2"/>
        <v>30</v>
      </c>
      <c r="AI20" s="48">
        <f t="shared" si="3"/>
        <v>10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26.9</v>
      </c>
      <c r="N21" s="45">
        <v>24</v>
      </c>
      <c r="O21" s="45">
        <v>24</v>
      </c>
      <c r="P21" s="45">
        <v>24</v>
      </c>
      <c r="Q21" s="45">
        <v>24.8</v>
      </c>
      <c r="R21" s="45">
        <v>24.8</v>
      </c>
      <c r="S21" s="45">
        <v>24.8</v>
      </c>
      <c r="T21" s="45">
        <v>24.8</v>
      </c>
      <c r="U21" s="45">
        <v>24.8</v>
      </c>
      <c r="V21" s="45">
        <v>24.8</v>
      </c>
      <c r="W21" s="45">
        <v>24.8</v>
      </c>
      <c r="X21" s="45">
        <v>24.8</v>
      </c>
      <c r="Y21" s="45">
        <v>24.8</v>
      </c>
      <c r="Z21" s="45">
        <v>24.8</v>
      </c>
      <c r="AA21" s="45">
        <v>24.8</v>
      </c>
      <c r="AB21" s="45">
        <v>24.8</v>
      </c>
      <c r="AC21" s="45">
        <v>24.8</v>
      </c>
      <c r="AD21" s="45">
        <v>24.8</v>
      </c>
      <c r="AE21" s="45">
        <v>24.8</v>
      </c>
      <c r="AF21" s="45">
        <v>20.7</v>
      </c>
      <c r="AG21" s="49">
        <v>24.2</v>
      </c>
      <c r="AH21" s="47">
        <f t="shared" si="2"/>
        <v>33.1</v>
      </c>
      <c r="AI21" s="48">
        <f t="shared" si="3"/>
        <v>20.7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15</v>
      </c>
      <c r="C22" s="45">
        <v>15</v>
      </c>
      <c r="D22" s="45">
        <v>15</v>
      </c>
      <c r="E22" s="45">
        <v>15</v>
      </c>
      <c r="F22" s="45">
        <v>15</v>
      </c>
      <c r="G22" s="45">
        <v>15</v>
      </c>
      <c r="H22" s="45">
        <v>15</v>
      </c>
      <c r="I22" s="45">
        <v>15</v>
      </c>
      <c r="J22" s="45">
        <v>25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15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6</v>
      </c>
      <c r="C23" s="45">
        <v>6</v>
      </c>
      <c r="D23" s="45">
        <v>6</v>
      </c>
      <c r="E23" s="45">
        <v>7</v>
      </c>
      <c r="F23" s="45">
        <v>7</v>
      </c>
      <c r="G23" s="45">
        <v>7</v>
      </c>
      <c r="H23" s="45">
        <v>7</v>
      </c>
      <c r="I23" s="45">
        <v>7</v>
      </c>
      <c r="J23" s="45">
        <v>7</v>
      </c>
      <c r="K23" s="45">
        <v>20</v>
      </c>
      <c r="L23" s="45">
        <v>27</v>
      </c>
      <c r="M23" s="45">
        <v>27</v>
      </c>
      <c r="N23" s="45">
        <v>21</v>
      </c>
      <c r="O23" s="45">
        <v>21</v>
      </c>
      <c r="P23" s="45">
        <v>16</v>
      </c>
      <c r="Q23" s="45">
        <f>0.8*27</f>
        <v>21.6</v>
      </c>
      <c r="R23" s="45">
        <v>13.5</v>
      </c>
      <c r="S23" s="45">
        <v>13.5</v>
      </c>
      <c r="T23" s="45">
        <v>20</v>
      </c>
      <c r="U23" s="45">
        <v>20</v>
      </c>
      <c r="V23" s="45">
        <v>20</v>
      </c>
      <c r="W23" s="45">
        <v>20</v>
      </c>
      <c r="X23" s="45">
        <v>20</v>
      </c>
      <c r="Y23" s="45">
        <v>20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23</v>
      </c>
      <c r="AF23" s="45">
        <v>23</v>
      </c>
      <c r="AG23" s="51">
        <v>30</v>
      </c>
      <c r="AH23" s="47">
        <f t="shared" si="2"/>
        <v>27</v>
      </c>
      <c r="AI23" s="48">
        <f t="shared" si="3"/>
        <v>6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</v>
      </c>
      <c r="C24" s="45">
        <v>25</v>
      </c>
      <c r="D24" s="45">
        <v>25</v>
      </c>
      <c r="E24" s="45">
        <v>25</v>
      </c>
      <c r="F24" s="45">
        <v>25</v>
      </c>
      <c r="G24" s="45">
        <v>25</v>
      </c>
      <c r="H24" s="45">
        <v>25</v>
      </c>
      <c r="I24" s="45">
        <v>25</v>
      </c>
      <c r="J24" s="45">
        <v>25</v>
      </c>
      <c r="K24" s="45">
        <v>25</v>
      </c>
      <c r="L24" s="45">
        <v>25</v>
      </c>
      <c r="M24" s="45">
        <v>25</v>
      </c>
      <c r="N24" s="45">
        <v>25</v>
      </c>
      <c r="O24" s="45">
        <v>25</v>
      </c>
      <c r="P24" s="45">
        <v>25</v>
      </c>
      <c r="Q24" s="45">
        <v>25</v>
      </c>
      <c r="R24" s="45">
        <v>25</v>
      </c>
      <c r="S24" s="45">
        <v>25</v>
      </c>
      <c r="T24" s="45">
        <v>25</v>
      </c>
      <c r="U24" s="45">
        <v>25</v>
      </c>
      <c r="V24" s="45">
        <v>25</v>
      </c>
      <c r="W24" s="45">
        <v>25</v>
      </c>
      <c r="X24" s="45">
        <v>25</v>
      </c>
      <c r="Y24" s="45">
        <v>25</v>
      </c>
      <c r="Z24" s="45">
        <v>25</v>
      </c>
      <c r="AA24" s="45">
        <v>25</v>
      </c>
      <c r="AB24" s="45">
        <v>25</v>
      </c>
      <c r="AC24" s="45">
        <v>25</v>
      </c>
      <c r="AD24" s="45">
        <v>25</v>
      </c>
      <c r="AE24" s="45">
        <v>24.5</v>
      </c>
      <c r="AF24" s="45">
        <v>24.5</v>
      </c>
      <c r="AG24" s="49">
        <v>25</v>
      </c>
      <c r="AH24" s="47">
        <f t="shared" si="2"/>
        <v>25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20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6</v>
      </c>
      <c r="C27" s="45">
        <v>6</v>
      </c>
      <c r="D27" s="45">
        <v>6</v>
      </c>
      <c r="E27" s="45">
        <v>6</v>
      </c>
      <c r="F27" s="45">
        <v>6</v>
      </c>
      <c r="G27" s="45">
        <v>6</v>
      </c>
      <c r="H27" s="45">
        <v>6</v>
      </c>
      <c r="I27" s="45">
        <v>6</v>
      </c>
      <c r="J27" s="45">
        <v>6</v>
      </c>
      <c r="K27" s="45">
        <v>20</v>
      </c>
      <c r="L27" s="45">
        <v>25</v>
      </c>
      <c r="M27" s="45">
        <v>25</v>
      </c>
      <c r="N27" s="45">
        <f>0.8*25</f>
        <v>20</v>
      </c>
      <c r="O27" s="45">
        <f>0.8*25</f>
        <v>20</v>
      </c>
      <c r="P27" s="45">
        <v>15</v>
      </c>
      <c r="Q27" s="45">
        <v>20</v>
      </c>
      <c r="R27" s="45">
        <v>12.5</v>
      </c>
      <c r="S27" s="45">
        <v>12.5</v>
      </c>
      <c r="T27" s="45">
        <v>20</v>
      </c>
      <c r="U27" s="45">
        <v>20</v>
      </c>
      <c r="V27" s="45">
        <v>20</v>
      </c>
      <c r="W27" s="45">
        <v>20</v>
      </c>
      <c r="X27" s="45">
        <v>20</v>
      </c>
      <c r="Y27" s="45">
        <v>20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22</v>
      </c>
      <c r="AF27" s="45">
        <v>22</v>
      </c>
      <c r="AG27" s="49">
        <v>25</v>
      </c>
      <c r="AH27" s="47">
        <f t="shared" si="2"/>
        <v>25</v>
      </c>
      <c r="AI27" s="48">
        <f t="shared" si="3"/>
        <v>6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8</v>
      </c>
      <c r="E33" s="45">
        <v>8</v>
      </c>
      <c r="F33" s="45">
        <v>8</v>
      </c>
      <c r="G33" s="45">
        <v>8</v>
      </c>
      <c r="H33" s="45">
        <v>8</v>
      </c>
      <c r="I33" s="45">
        <v>8</v>
      </c>
      <c r="J33" s="45">
        <v>8</v>
      </c>
      <c r="K33" s="45">
        <v>8</v>
      </c>
      <c r="L33" s="45">
        <v>8</v>
      </c>
      <c r="M33" s="45">
        <v>8</v>
      </c>
      <c r="N33" s="45">
        <v>8</v>
      </c>
      <c r="O33" s="45">
        <v>8</v>
      </c>
      <c r="P33" s="45">
        <v>8</v>
      </c>
      <c r="Q33" s="45">
        <v>8</v>
      </c>
      <c r="R33" s="45">
        <v>8</v>
      </c>
      <c r="S33" s="45">
        <v>8</v>
      </c>
      <c r="T33" s="45">
        <v>8</v>
      </c>
      <c r="U33" s="45">
        <v>8</v>
      </c>
      <c r="V33" s="45">
        <v>8</v>
      </c>
      <c r="W33" s="45">
        <v>8</v>
      </c>
      <c r="X33" s="45">
        <v>8</v>
      </c>
      <c r="Y33" s="45">
        <v>8</v>
      </c>
      <c r="Z33" s="45">
        <v>8</v>
      </c>
      <c r="AA33" s="45">
        <v>8</v>
      </c>
      <c r="AB33" s="45">
        <v>8</v>
      </c>
      <c r="AC33" s="45">
        <v>8</v>
      </c>
      <c r="AD33" s="45">
        <v>8</v>
      </c>
      <c r="AE33" s="45">
        <v>4</v>
      </c>
      <c r="AF33" s="45">
        <v>4</v>
      </c>
      <c r="AG33" s="49">
        <v>20</v>
      </c>
      <c r="AH33" s="47">
        <f t="shared" si="2"/>
        <v>8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5</v>
      </c>
      <c r="R34" s="45">
        <v>5</v>
      </c>
      <c r="S34" s="45">
        <v>5</v>
      </c>
      <c r="T34" s="45">
        <v>5</v>
      </c>
      <c r="U34" s="45">
        <v>5</v>
      </c>
      <c r="V34" s="45">
        <v>5</v>
      </c>
      <c r="W34" s="45">
        <v>5</v>
      </c>
      <c r="X34" s="45">
        <v>5</v>
      </c>
      <c r="Y34" s="45">
        <v>5</v>
      </c>
      <c r="Z34" s="45">
        <v>5</v>
      </c>
      <c r="AA34" s="45">
        <v>5</v>
      </c>
      <c r="AB34" s="45">
        <v>5</v>
      </c>
      <c r="AC34" s="45">
        <v>5</v>
      </c>
      <c r="AD34" s="45">
        <v>5</v>
      </c>
      <c r="AE34" s="45">
        <v>2</v>
      </c>
      <c r="AF34" s="45">
        <v>2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0</v>
      </c>
      <c r="E35" s="45">
        <v>0</v>
      </c>
      <c r="F35" s="45">
        <v>0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15.4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11</v>
      </c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4</v>
      </c>
      <c r="C39" s="45">
        <v>4</v>
      </c>
      <c r="D39" s="45">
        <v>4</v>
      </c>
      <c r="E39" s="45">
        <v>4</v>
      </c>
      <c r="F39" s="45">
        <v>4</v>
      </c>
      <c r="G39" s="45">
        <v>4</v>
      </c>
      <c r="H39" s="45">
        <v>4</v>
      </c>
      <c r="I39" s="45">
        <v>4</v>
      </c>
      <c r="J39" s="45">
        <v>4</v>
      </c>
      <c r="K39" s="45">
        <v>10</v>
      </c>
      <c r="L39" s="45">
        <v>12</v>
      </c>
      <c r="M39" s="45">
        <v>12</v>
      </c>
      <c r="N39" s="45">
        <f>0.8*12</f>
        <v>9.6000000000000014</v>
      </c>
      <c r="O39" s="45">
        <f>0.8*12</f>
        <v>9.6000000000000014</v>
      </c>
      <c r="P39" s="45">
        <v>7.2</v>
      </c>
      <c r="Q39" s="45">
        <v>9.6</v>
      </c>
      <c r="R39" s="45">
        <v>6</v>
      </c>
      <c r="S39" s="45">
        <v>6</v>
      </c>
      <c r="T39" s="45">
        <v>10</v>
      </c>
      <c r="U39" s="45">
        <v>10</v>
      </c>
      <c r="V39" s="45">
        <v>10</v>
      </c>
      <c r="W39" s="45">
        <v>10</v>
      </c>
      <c r="X39" s="45">
        <v>10</v>
      </c>
      <c r="Y39" s="45">
        <v>10</v>
      </c>
      <c r="Z39" s="45">
        <v>10</v>
      </c>
      <c r="AA39" s="45">
        <v>10</v>
      </c>
      <c r="AB39" s="45">
        <v>10</v>
      </c>
      <c r="AC39" s="45">
        <v>10</v>
      </c>
      <c r="AD39" s="45">
        <v>10</v>
      </c>
      <c r="AE39" s="45">
        <v>9</v>
      </c>
      <c r="AF39" s="45">
        <v>9</v>
      </c>
      <c r="AG39" s="49">
        <v>12</v>
      </c>
      <c r="AH39" s="47">
        <f t="shared" si="2"/>
        <v>12</v>
      </c>
      <c r="AI39" s="48">
        <f t="shared" si="3"/>
        <v>4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4</v>
      </c>
      <c r="W40" s="45">
        <v>4</v>
      </c>
      <c r="X40" s="45">
        <v>4</v>
      </c>
      <c r="Y40" s="45">
        <v>4</v>
      </c>
      <c r="Z40" s="45">
        <v>4</v>
      </c>
      <c r="AA40" s="45">
        <v>4</v>
      </c>
      <c r="AB40" s="45">
        <v>4</v>
      </c>
      <c r="AC40" s="45">
        <v>4</v>
      </c>
      <c r="AD40" s="45">
        <v>4</v>
      </c>
      <c r="AE40" s="45">
        <v>4</v>
      </c>
      <c r="AF40" s="45">
        <v>4</v>
      </c>
      <c r="AG40" s="49">
        <v>12</v>
      </c>
      <c r="AH40" s="47">
        <f t="shared" si="2"/>
        <v>4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8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>
        <v>410</v>
      </c>
      <c r="V48" s="56">
        <v>410</v>
      </c>
      <c r="W48" s="56">
        <v>410</v>
      </c>
      <c r="X48" s="56">
        <v>410</v>
      </c>
      <c r="Y48" s="56">
        <v>410</v>
      </c>
      <c r="Z48" s="56">
        <v>410</v>
      </c>
      <c r="AA48" s="56">
        <v>410</v>
      </c>
      <c r="AB48" s="56">
        <v>410</v>
      </c>
      <c r="AC48" s="56">
        <v>410</v>
      </c>
      <c r="AD48" s="56">
        <v>410</v>
      </c>
      <c r="AE48" s="56">
        <v>410</v>
      </c>
      <c r="AF48" s="56">
        <v>410</v>
      </c>
      <c r="AG48" s="54">
        <v>85</v>
      </c>
      <c r="AH48" s="47">
        <f t="shared" si="2"/>
        <v>410</v>
      </c>
      <c r="AI48" s="48">
        <f t="shared" si="3"/>
        <v>410</v>
      </c>
      <c r="AK48" s="50"/>
    </row>
    <row r="49" spans="1:41" ht="15.75" thickBot="1" x14ac:dyDescent="0.3">
      <c r="A49" s="57" t="s">
        <v>57</v>
      </c>
      <c r="B49" s="56">
        <v>104</v>
      </c>
      <c r="C49" s="56">
        <v>104</v>
      </c>
      <c r="D49" s="56">
        <v>120</v>
      </c>
      <c r="E49" s="56">
        <v>120</v>
      </c>
      <c r="F49" s="56">
        <v>120</v>
      </c>
      <c r="G49" s="56">
        <v>120</v>
      </c>
      <c r="H49" s="56">
        <f>36.7+92.6</f>
        <v>129.30000000000001</v>
      </c>
      <c r="I49" s="56">
        <f>36.7+92.6</f>
        <v>129.30000000000001</v>
      </c>
      <c r="J49" s="56">
        <f>36.7+92.6</f>
        <v>129.30000000000001</v>
      </c>
      <c r="K49" s="56">
        <f>36.7+92.6</f>
        <v>129.30000000000001</v>
      </c>
      <c r="L49" s="56">
        <f>36.7+92.6</f>
        <v>129.30000000000001</v>
      </c>
      <c r="M49" s="58">
        <f>91.8+36.1</f>
        <v>127.9</v>
      </c>
      <c r="N49" s="58">
        <f>92.1+36.1</f>
        <v>128.19999999999999</v>
      </c>
      <c r="O49" s="58">
        <f>92.4+36.5</f>
        <v>128.9</v>
      </c>
      <c r="P49" s="58">
        <f>92.8+36.8</f>
        <v>129.6</v>
      </c>
      <c r="Q49" s="58">
        <f>28.1+8.1</f>
        <v>36.200000000000003</v>
      </c>
      <c r="R49" s="58">
        <f t="shared" ref="R49:AA49" si="4">91.1+36.3</f>
        <v>127.39999999999999</v>
      </c>
      <c r="S49" s="58">
        <f t="shared" si="4"/>
        <v>127.39999999999999</v>
      </c>
      <c r="T49" s="58">
        <f t="shared" si="4"/>
        <v>127.39999999999999</v>
      </c>
      <c r="U49" s="58">
        <f t="shared" si="4"/>
        <v>127.39999999999999</v>
      </c>
      <c r="V49" s="58">
        <f t="shared" si="4"/>
        <v>127.39999999999999</v>
      </c>
      <c r="W49" s="58">
        <f t="shared" si="4"/>
        <v>127.39999999999999</v>
      </c>
      <c r="X49" s="58">
        <f t="shared" si="4"/>
        <v>127.39999999999999</v>
      </c>
      <c r="Y49" s="58">
        <f t="shared" si="4"/>
        <v>127.39999999999999</v>
      </c>
      <c r="Z49" s="58">
        <f t="shared" si="4"/>
        <v>127.39999999999999</v>
      </c>
      <c r="AA49" s="58">
        <f t="shared" si="4"/>
        <v>127.39999999999999</v>
      </c>
      <c r="AB49" s="58">
        <v>125</v>
      </c>
      <c r="AC49" s="58">
        <v>125</v>
      </c>
      <c r="AD49" s="58">
        <v>125</v>
      </c>
      <c r="AE49" s="58">
        <v>125</v>
      </c>
      <c r="AF49" s="58">
        <v>125</v>
      </c>
      <c r="AG49" s="54">
        <v>240</v>
      </c>
      <c r="AH49" s="47">
        <f t="shared" si="2"/>
        <v>129.6</v>
      </c>
      <c r="AI49" s="48">
        <f t="shared" si="3"/>
        <v>36.200000000000003</v>
      </c>
      <c r="AK49" s="50"/>
    </row>
    <row r="50" spans="1:41" ht="15.75" thickBot="1" x14ac:dyDescent="0.3">
      <c r="A50" s="59" t="s">
        <v>58</v>
      </c>
      <c r="B50" s="60">
        <f t="shared" ref="B50:AB50" si="5">SUM(B11:B48)</f>
        <v>1087</v>
      </c>
      <c r="C50" s="60">
        <f t="shared" si="5"/>
        <v>1087</v>
      </c>
      <c r="D50" s="60">
        <f t="shared" si="5"/>
        <v>1117.9000000000001</v>
      </c>
      <c r="E50" s="60">
        <f t="shared" si="5"/>
        <v>1119</v>
      </c>
      <c r="F50" s="60">
        <f t="shared" si="5"/>
        <v>1119</v>
      </c>
      <c r="G50" s="60">
        <f t="shared" si="5"/>
        <v>1134</v>
      </c>
      <c r="H50" s="60">
        <f t="shared" si="5"/>
        <v>1134</v>
      </c>
      <c r="I50" s="60">
        <f t="shared" si="5"/>
        <v>1145.7</v>
      </c>
      <c r="J50" s="60">
        <f t="shared" si="5"/>
        <v>1155.7</v>
      </c>
      <c r="K50" s="60">
        <f t="shared" si="5"/>
        <v>1197.2</v>
      </c>
      <c r="L50" s="60">
        <f t="shared" si="5"/>
        <v>1226.2</v>
      </c>
      <c r="M50" s="60">
        <f t="shared" si="5"/>
        <v>1220.5</v>
      </c>
      <c r="N50" s="60">
        <f t="shared" si="5"/>
        <v>1198.2</v>
      </c>
      <c r="O50" s="60">
        <f t="shared" si="5"/>
        <v>1159.7</v>
      </c>
      <c r="P50" s="60">
        <f t="shared" si="5"/>
        <v>1141.5999999999999</v>
      </c>
      <c r="Q50" s="60">
        <f t="shared" si="5"/>
        <v>1157.7</v>
      </c>
      <c r="R50" s="60">
        <f t="shared" si="5"/>
        <v>1133.5</v>
      </c>
      <c r="S50" s="60">
        <f t="shared" ref="S50:T50" si="6">SUM(S11:S48)</f>
        <v>1133.5</v>
      </c>
      <c r="T50" s="60">
        <f t="shared" si="6"/>
        <v>1166.5</v>
      </c>
      <c r="U50" s="60">
        <f t="shared" si="5"/>
        <v>1166.5</v>
      </c>
      <c r="V50" s="60">
        <f t="shared" si="5"/>
        <v>1166.5</v>
      </c>
      <c r="W50" s="60">
        <f t="shared" ref="W50:X50" si="7">SUM(W11:W48)</f>
        <v>1166.5</v>
      </c>
      <c r="X50" s="60">
        <f t="shared" si="7"/>
        <v>1166.5</v>
      </c>
      <c r="Y50" s="60">
        <f t="shared" ref="Y50:Z50" si="8">SUM(Y11:Y48)</f>
        <v>1166.5</v>
      </c>
      <c r="Z50" s="60">
        <f t="shared" si="8"/>
        <v>1178.5</v>
      </c>
      <c r="AA50" s="60">
        <f t="shared" ref="AA50" si="9">SUM(AA11:AA48)</f>
        <v>1178.5</v>
      </c>
      <c r="AB50" s="60">
        <f t="shared" si="5"/>
        <v>1176.9000000000001</v>
      </c>
      <c r="AC50" s="60">
        <f t="shared" ref="AC50:AD50" si="10">SUM(AC11:AC48)</f>
        <v>1176.9000000000001</v>
      </c>
      <c r="AD50" s="60">
        <f t="shared" si="10"/>
        <v>1176.9000000000001</v>
      </c>
      <c r="AE50" s="60">
        <f t="shared" ref="AE50:AF50" si="11">SUM(AE11:AE48)</f>
        <v>1154.9000000000001</v>
      </c>
      <c r="AF50" s="60">
        <f t="shared" si="11"/>
        <v>1158.8000000000002</v>
      </c>
      <c r="AG50" s="61">
        <f>SUM(AG13:AG48)</f>
        <v>922.14</v>
      </c>
      <c r="AH50" s="47">
        <f t="shared" si="2"/>
        <v>1226.2</v>
      </c>
      <c r="AI50" s="48">
        <f t="shared" si="3"/>
        <v>1087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380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55</v>
      </c>
      <c r="C52" s="64">
        <v>55</v>
      </c>
      <c r="D52" s="64">
        <v>55</v>
      </c>
      <c r="E52" s="64">
        <v>55</v>
      </c>
      <c r="F52" s="64">
        <v>55</v>
      </c>
      <c r="G52" s="64">
        <v>55</v>
      </c>
      <c r="H52" s="64">
        <v>55</v>
      </c>
      <c r="I52" s="64">
        <v>55</v>
      </c>
      <c r="J52" s="64">
        <v>55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22.1</v>
      </c>
      <c r="G53" s="66">
        <v>22.1</v>
      </c>
      <c r="H53" s="66">
        <v>22.1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12">SUM(B51:B53)</f>
        <v>533.4</v>
      </c>
      <c r="C54" s="60">
        <f t="shared" si="12"/>
        <v>533.4</v>
      </c>
      <c r="D54" s="60">
        <f t="shared" si="12"/>
        <v>533.4</v>
      </c>
      <c r="E54" s="60">
        <f t="shared" si="12"/>
        <v>533.4</v>
      </c>
      <c r="F54" s="60">
        <f t="shared" si="12"/>
        <v>457.1</v>
      </c>
      <c r="G54" s="60">
        <f t="shared" si="12"/>
        <v>533.1</v>
      </c>
      <c r="H54" s="60">
        <f t="shared" si="12"/>
        <v>533.1</v>
      </c>
      <c r="I54" s="60">
        <f t="shared" si="12"/>
        <v>533</v>
      </c>
      <c r="J54" s="60">
        <f t="shared" si="12"/>
        <v>533</v>
      </c>
      <c r="K54" s="60">
        <f t="shared" si="12"/>
        <v>538</v>
      </c>
      <c r="L54" s="60">
        <f t="shared" si="12"/>
        <v>538</v>
      </c>
      <c r="M54" s="60">
        <f t="shared" si="12"/>
        <v>538</v>
      </c>
      <c r="N54" s="60">
        <f t="shared" si="12"/>
        <v>538</v>
      </c>
      <c r="O54" s="60">
        <f t="shared" si="12"/>
        <v>538</v>
      </c>
      <c r="P54" s="60">
        <f t="shared" si="12"/>
        <v>538</v>
      </c>
      <c r="Q54" s="60">
        <f t="shared" si="12"/>
        <v>538</v>
      </c>
      <c r="R54" s="60">
        <f t="shared" si="12"/>
        <v>538</v>
      </c>
      <c r="S54" s="60">
        <f t="shared" ref="S54:T54" si="13">SUM(S51:S53)</f>
        <v>538</v>
      </c>
      <c r="T54" s="60">
        <f t="shared" si="13"/>
        <v>538</v>
      </c>
      <c r="U54" s="60">
        <f t="shared" si="12"/>
        <v>538</v>
      </c>
      <c r="V54" s="60">
        <f t="shared" si="12"/>
        <v>538</v>
      </c>
      <c r="W54" s="60">
        <f t="shared" ref="W54:X54" si="14">SUM(W51:W53)</f>
        <v>538</v>
      </c>
      <c r="X54" s="60">
        <f t="shared" si="14"/>
        <v>538</v>
      </c>
      <c r="Y54" s="60">
        <f t="shared" ref="Y54:Z54" si="15">SUM(Y51:Y53)</f>
        <v>538</v>
      </c>
      <c r="Z54" s="60">
        <f t="shared" si="15"/>
        <v>538</v>
      </c>
      <c r="AA54" s="60">
        <f t="shared" ref="AA54" si="16">SUM(AA51:AA53)</f>
        <v>538</v>
      </c>
      <c r="AB54" s="60">
        <f t="shared" si="12"/>
        <v>538</v>
      </c>
      <c r="AC54" s="60">
        <f t="shared" ref="AC54:AD54" si="17">SUM(AC51:AC53)</f>
        <v>538</v>
      </c>
      <c r="AD54" s="60">
        <f t="shared" si="17"/>
        <v>538</v>
      </c>
      <c r="AE54" s="60">
        <f t="shared" ref="AE54:AF54" si="18">SUM(AE51:AE53)</f>
        <v>538</v>
      </c>
      <c r="AF54" s="60">
        <f t="shared" si="18"/>
        <v>538</v>
      </c>
      <c r="AG54" s="61">
        <f t="shared" si="12"/>
        <v>538.1</v>
      </c>
      <c r="AH54" s="47">
        <f t="shared" si="2"/>
        <v>538</v>
      </c>
      <c r="AI54" s="48">
        <f t="shared" si="3"/>
        <v>457.1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144</v>
      </c>
      <c r="E55" s="45">
        <v>144</v>
      </c>
      <c r="F55" s="45">
        <v>144</v>
      </c>
      <c r="G55" s="45">
        <v>144</v>
      </c>
      <c r="H55" s="45">
        <v>144</v>
      </c>
      <c r="I55" s="45">
        <v>144</v>
      </c>
      <c r="J55" s="45">
        <v>144</v>
      </c>
      <c r="K55" s="45">
        <v>144</v>
      </c>
      <c r="L55" s="45">
        <v>144</v>
      </c>
      <c r="M55" s="45">
        <v>144</v>
      </c>
      <c r="N55" s="45">
        <v>144</v>
      </c>
      <c r="O55" s="45">
        <v>144</v>
      </c>
      <c r="P55" s="45">
        <v>144</v>
      </c>
      <c r="Q55" s="45">
        <v>144</v>
      </c>
      <c r="R55" s="45">
        <v>144</v>
      </c>
      <c r="S55" s="45">
        <v>144</v>
      </c>
      <c r="T55" s="45">
        <v>144</v>
      </c>
      <c r="U55" s="45">
        <v>144</v>
      </c>
      <c r="V55" s="45">
        <v>144</v>
      </c>
      <c r="W55" s="45">
        <v>145.30000000000001</v>
      </c>
      <c r="X55" s="45">
        <v>145.30000000000001</v>
      </c>
      <c r="Y55" s="45">
        <v>145.30000000000001</v>
      </c>
      <c r="Z55" s="45">
        <v>145.30000000000001</v>
      </c>
      <c r="AA55" s="45">
        <v>145.30000000000001</v>
      </c>
      <c r="AB55" s="45">
        <v>145.9</v>
      </c>
      <c r="AC55" s="45">
        <v>145.9</v>
      </c>
      <c r="AD55" s="45">
        <v>145.9</v>
      </c>
      <c r="AE55" s="45">
        <v>145.9</v>
      </c>
      <c r="AF55" s="45">
        <v>145.9</v>
      </c>
      <c r="AG55" s="51">
        <v>144</v>
      </c>
      <c r="AH55" s="47">
        <f t="shared" si="2"/>
        <v>145.9</v>
      </c>
      <c r="AI55" s="48">
        <f t="shared" si="3"/>
        <v>144</v>
      </c>
      <c r="AK55" s="50"/>
    </row>
    <row r="56" spans="1:41" x14ac:dyDescent="0.25">
      <c r="A56" s="53" t="s">
        <v>64</v>
      </c>
      <c r="B56" s="64">
        <v>69.599999999999994</v>
      </c>
      <c r="C56" s="64">
        <v>69.599999999999994</v>
      </c>
      <c r="D56" s="64">
        <v>69.599999999999994</v>
      </c>
      <c r="E56" s="64">
        <v>69.599999999999994</v>
      </c>
      <c r="F56" s="64">
        <v>64.599999999999994</v>
      </c>
      <c r="G56" s="64">
        <v>64.599999999999994</v>
      </c>
      <c r="H56" s="64">
        <v>64.599999999999994</v>
      </c>
      <c r="I56" s="64">
        <v>70</v>
      </c>
      <c r="J56" s="64">
        <v>70</v>
      </c>
      <c r="K56" s="64">
        <v>70</v>
      </c>
      <c r="L56" s="64">
        <v>70</v>
      </c>
      <c r="M56" s="64">
        <v>70</v>
      </c>
      <c r="N56" s="64">
        <v>67.5</v>
      </c>
      <c r="O56" s="64">
        <v>67.400000000000006</v>
      </c>
      <c r="P56" s="64">
        <v>69.5</v>
      </c>
      <c r="Q56" s="64">
        <v>69.8</v>
      </c>
      <c r="R56" s="64">
        <v>69.8</v>
      </c>
      <c r="S56" s="64">
        <v>69.8</v>
      </c>
      <c r="T56" s="64">
        <v>69.8</v>
      </c>
      <c r="U56" s="64">
        <v>69.8</v>
      </c>
      <c r="V56" s="64">
        <v>69.8</v>
      </c>
      <c r="W56" s="64">
        <v>69.8</v>
      </c>
      <c r="X56" s="64">
        <v>69.8</v>
      </c>
      <c r="Y56" s="64">
        <v>69.8</v>
      </c>
      <c r="Z56" s="64">
        <v>69.8</v>
      </c>
      <c r="AA56" s="64">
        <v>69.8</v>
      </c>
      <c r="AB56" s="45">
        <v>70</v>
      </c>
      <c r="AC56" s="45">
        <v>70</v>
      </c>
      <c r="AD56" s="45">
        <v>70</v>
      </c>
      <c r="AE56" s="45">
        <v>70</v>
      </c>
      <c r="AF56" s="45">
        <v>70</v>
      </c>
      <c r="AG56" s="54">
        <v>70</v>
      </c>
      <c r="AH56" s="47">
        <f t="shared" si="2"/>
        <v>70</v>
      </c>
      <c r="AI56" s="48">
        <f t="shared" si="3"/>
        <v>64.599999999999994</v>
      </c>
      <c r="AK56" s="50"/>
    </row>
    <row r="57" spans="1:41" x14ac:dyDescent="0.25">
      <c r="A57" s="53" t="s">
        <v>65</v>
      </c>
      <c r="B57" s="64">
        <v>66.900000000000006</v>
      </c>
      <c r="C57" s="64">
        <v>66.900000000000006</v>
      </c>
      <c r="D57" s="64">
        <v>66.900000000000006</v>
      </c>
      <c r="E57" s="64">
        <v>66.900000000000006</v>
      </c>
      <c r="F57" s="64">
        <v>65.7</v>
      </c>
      <c r="G57" s="64">
        <v>65.7</v>
      </c>
      <c r="H57" s="64">
        <v>65.7</v>
      </c>
      <c r="I57" s="64">
        <v>65</v>
      </c>
      <c r="J57" s="64">
        <v>65.2</v>
      </c>
      <c r="K57" s="64">
        <v>65.2</v>
      </c>
      <c r="L57" s="64">
        <v>65.2</v>
      </c>
      <c r="M57" s="64">
        <v>65.2</v>
      </c>
      <c r="N57" s="64">
        <v>66.2</v>
      </c>
      <c r="O57" s="64">
        <v>65.8</v>
      </c>
      <c r="P57" s="64">
        <v>65.7</v>
      </c>
      <c r="Q57" s="64">
        <v>66.3</v>
      </c>
      <c r="R57" s="64">
        <v>65.900000000000006</v>
      </c>
      <c r="S57" s="64">
        <v>65.900000000000006</v>
      </c>
      <c r="T57" s="64">
        <v>65.900000000000006</v>
      </c>
      <c r="U57" s="64">
        <v>65.900000000000006</v>
      </c>
      <c r="V57" s="64">
        <v>65.900000000000006</v>
      </c>
      <c r="W57" s="64">
        <v>65.900000000000006</v>
      </c>
      <c r="X57" s="64">
        <v>65.900000000000006</v>
      </c>
      <c r="Y57" s="64">
        <v>65.900000000000006</v>
      </c>
      <c r="Z57" s="64">
        <v>65.900000000000006</v>
      </c>
      <c r="AA57" s="64">
        <v>65.900000000000006</v>
      </c>
      <c r="AB57" s="45">
        <v>65.900000000000006</v>
      </c>
      <c r="AC57" s="45">
        <v>65.900000000000006</v>
      </c>
      <c r="AD57" s="45">
        <v>65.900000000000006</v>
      </c>
      <c r="AE57" s="45">
        <v>65.900000000000006</v>
      </c>
      <c r="AF57" s="45">
        <v>65.900000000000006</v>
      </c>
      <c r="AG57" s="54">
        <v>69</v>
      </c>
      <c r="AH57" s="47">
        <f t="shared" si="2"/>
        <v>66.900000000000006</v>
      </c>
      <c r="AI57" s="48">
        <f t="shared" si="3"/>
        <v>65</v>
      </c>
      <c r="AK57" s="50"/>
    </row>
    <row r="58" spans="1:41" x14ac:dyDescent="0.25">
      <c r="A58" s="53" t="s">
        <v>66</v>
      </c>
      <c r="B58" s="64">
        <v>61.2</v>
      </c>
      <c r="C58" s="64">
        <v>61.2</v>
      </c>
      <c r="D58" s="64">
        <v>61.2</v>
      </c>
      <c r="E58" s="64">
        <v>50</v>
      </c>
      <c r="F58" s="56">
        <v>50.2</v>
      </c>
      <c r="G58" s="56">
        <v>50.2</v>
      </c>
      <c r="H58" s="56">
        <v>50.2</v>
      </c>
      <c r="I58" s="56">
        <v>50.2</v>
      </c>
      <c r="J58" s="56">
        <v>60</v>
      </c>
      <c r="K58" s="56">
        <v>60</v>
      </c>
      <c r="L58" s="56">
        <v>60</v>
      </c>
      <c r="M58" s="64">
        <v>58.2</v>
      </c>
      <c r="N58" s="64">
        <v>30</v>
      </c>
      <c r="O58" s="64">
        <v>28.2</v>
      </c>
      <c r="P58" s="64">
        <v>29.2</v>
      </c>
      <c r="Q58" s="64">
        <v>29.2</v>
      </c>
      <c r="R58" s="64">
        <v>30</v>
      </c>
      <c r="S58" s="64">
        <v>30</v>
      </c>
      <c r="T58" s="64">
        <v>30</v>
      </c>
      <c r="U58" s="64">
        <v>30</v>
      </c>
      <c r="V58" s="64">
        <v>30</v>
      </c>
      <c r="W58" s="64">
        <v>30</v>
      </c>
      <c r="X58" s="64">
        <v>30</v>
      </c>
      <c r="Y58" s="64">
        <v>30</v>
      </c>
      <c r="Z58" s="64">
        <v>60.1</v>
      </c>
      <c r="AA58" s="64">
        <v>60.1</v>
      </c>
      <c r="AB58" s="45">
        <v>60.2</v>
      </c>
      <c r="AC58" s="45">
        <v>60.2</v>
      </c>
      <c r="AD58" s="45">
        <v>60.2</v>
      </c>
      <c r="AE58" s="45">
        <v>60.2</v>
      </c>
      <c r="AF58" s="45">
        <v>60.2</v>
      </c>
      <c r="AG58" s="54">
        <v>60</v>
      </c>
      <c r="AH58" s="47">
        <f t="shared" si="2"/>
        <v>61.2</v>
      </c>
      <c r="AI58" s="48">
        <f t="shared" si="3"/>
        <v>28.2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56">
        <v>29</v>
      </c>
      <c r="G59" s="56">
        <v>29</v>
      </c>
      <c r="H59" s="56">
        <v>29</v>
      </c>
      <c r="I59" s="56">
        <v>29</v>
      </c>
      <c r="J59" s="56">
        <v>29</v>
      </c>
      <c r="K59" s="56">
        <v>29</v>
      </c>
      <c r="L59" s="56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64">
        <v>29</v>
      </c>
      <c r="AC59" s="64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29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1</v>
      </c>
      <c r="K60" s="64">
        <v>2.7</v>
      </c>
      <c r="L60" s="64">
        <v>5</v>
      </c>
      <c r="M60" s="64">
        <v>6.9</v>
      </c>
      <c r="N60" s="64">
        <v>13.1</v>
      </c>
      <c r="O60" s="64">
        <v>16.2</v>
      </c>
      <c r="P60" s="64">
        <v>16.2</v>
      </c>
      <c r="Q60" s="64">
        <v>18.5</v>
      </c>
      <c r="R60" s="64">
        <v>17.5</v>
      </c>
      <c r="S60" s="64">
        <v>17.5</v>
      </c>
      <c r="T60" s="64">
        <v>14.5</v>
      </c>
      <c r="U60" s="64">
        <v>10.5</v>
      </c>
      <c r="V60" s="64">
        <v>8.1999999999999993</v>
      </c>
      <c r="W60" s="64">
        <v>2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16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0</v>
      </c>
      <c r="C63" s="64">
        <v>0</v>
      </c>
      <c r="D63" s="64">
        <v>0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64">
        <v>10.5</v>
      </c>
      <c r="N63" s="64">
        <v>10.5</v>
      </c>
      <c r="O63" s="64">
        <v>10.5</v>
      </c>
      <c r="P63" s="64">
        <v>10.5</v>
      </c>
      <c r="Q63" s="64">
        <v>11.2</v>
      </c>
      <c r="R63" s="64">
        <v>11.2</v>
      </c>
      <c r="S63" s="64">
        <v>11.2</v>
      </c>
      <c r="T63" s="64">
        <v>11.2</v>
      </c>
      <c r="U63" s="64">
        <v>11.2</v>
      </c>
      <c r="V63" s="64">
        <v>11.2</v>
      </c>
      <c r="W63" s="64">
        <v>11.2</v>
      </c>
      <c r="X63" s="64">
        <v>11.2</v>
      </c>
      <c r="Y63" s="64">
        <v>11.2</v>
      </c>
      <c r="Z63" s="64">
        <v>11.2</v>
      </c>
      <c r="AA63" s="64">
        <v>11.2</v>
      </c>
      <c r="AB63" s="64">
        <v>11.2</v>
      </c>
      <c r="AC63" s="64">
        <v>11.2</v>
      </c>
      <c r="AD63" s="64">
        <v>11.2</v>
      </c>
      <c r="AE63" s="64">
        <v>11.2</v>
      </c>
      <c r="AF63" s="64">
        <v>10.199999999999999</v>
      </c>
      <c r="AG63" s="54">
        <v>14.1</v>
      </c>
      <c r="AH63" s="47">
        <f t="shared" si="2"/>
        <v>11.2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3.7</v>
      </c>
      <c r="C64" s="64">
        <v>3.7</v>
      </c>
      <c r="D64" s="64">
        <v>12</v>
      </c>
      <c r="E64" s="64">
        <v>12</v>
      </c>
      <c r="F64" s="64">
        <v>12</v>
      </c>
      <c r="G64" s="64">
        <v>12</v>
      </c>
      <c r="H64" s="64">
        <v>12</v>
      </c>
      <c r="I64" s="64">
        <v>12</v>
      </c>
      <c r="J64" s="64">
        <v>12</v>
      </c>
      <c r="K64" s="64">
        <v>12</v>
      </c>
      <c r="L64" s="64">
        <v>12</v>
      </c>
      <c r="M64" s="64">
        <v>12.1</v>
      </c>
      <c r="N64" s="64">
        <v>13.9</v>
      </c>
      <c r="O64" s="64">
        <v>14</v>
      </c>
      <c r="P64" s="64">
        <v>14.1</v>
      </c>
      <c r="Q64" s="64">
        <v>14.1</v>
      </c>
      <c r="R64" s="64">
        <v>14.1</v>
      </c>
      <c r="S64" s="64">
        <v>14.1</v>
      </c>
      <c r="T64" s="64">
        <v>14.1</v>
      </c>
      <c r="U64" s="64">
        <v>14.1</v>
      </c>
      <c r="V64" s="64">
        <v>14.1</v>
      </c>
      <c r="W64" s="64">
        <v>14.1</v>
      </c>
      <c r="X64" s="64">
        <v>14.1</v>
      </c>
      <c r="Y64" s="64">
        <v>14.1</v>
      </c>
      <c r="Z64" s="64">
        <v>14.1</v>
      </c>
      <c r="AA64" s="64">
        <v>14.1</v>
      </c>
      <c r="AB64" s="64">
        <v>10</v>
      </c>
      <c r="AC64" s="64">
        <v>10</v>
      </c>
      <c r="AD64" s="64">
        <v>14.1</v>
      </c>
      <c r="AE64" s="64">
        <v>14.1</v>
      </c>
      <c r="AF64" s="64">
        <v>13.6</v>
      </c>
      <c r="AG64" s="54">
        <v>14</v>
      </c>
      <c r="AH64" s="47">
        <f t="shared" si="2"/>
        <v>14.1</v>
      </c>
      <c r="AI64" s="48">
        <f t="shared" si="3"/>
        <v>3.7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9">SUM(B55:B67)</f>
        <v>414.53999999999996</v>
      </c>
      <c r="C68" s="60">
        <f t="shared" si="19"/>
        <v>414.53999999999996</v>
      </c>
      <c r="D68" s="60">
        <f t="shared" si="19"/>
        <v>422.84</v>
      </c>
      <c r="E68" s="60">
        <f t="shared" si="19"/>
        <v>411.64</v>
      </c>
      <c r="F68" s="60">
        <f t="shared" si="19"/>
        <v>405.64</v>
      </c>
      <c r="G68" s="60">
        <f t="shared" si="19"/>
        <v>405.64</v>
      </c>
      <c r="H68" s="60">
        <f t="shared" si="19"/>
        <v>405.64</v>
      </c>
      <c r="I68" s="60">
        <f t="shared" si="19"/>
        <v>410.34</v>
      </c>
      <c r="J68" s="60">
        <f t="shared" si="19"/>
        <v>421.34</v>
      </c>
      <c r="K68" s="60">
        <f t="shared" si="19"/>
        <v>423.03999999999996</v>
      </c>
      <c r="L68" s="60">
        <f t="shared" si="19"/>
        <v>425.34</v>
      </c>
      <c r="M68" s="60">
        <f t="shared" si="19"/>
        <v>436.03999999999996</v>
      </c>
      <c r="N68" s="60">
        <f t="shared" si="19"/>
        <v>414.34</v>
      </c>
      <c r="O68" s="60">
        <f t="shared" si="19"/>
        <v>415.23999999999995</v>
      </c>
      <c r="P68" s="60">
        <f t="shared" si="19"/>
        <v>418.34</v>
      </c>
      <c r="Q68" s="60">
        <f t="shared" si="19"/>
        <v>422.24</v>
      </c>
      <c r="R68" s="60">
        <f t="shared" si="19"/>
        <v>421.64000000000004</v>
      </c>
      <c r="S68" s="60">
        <f t="shared" ref="S68" si="20">SUM(S55:S67)</f>
        <v>421.64000000000004</v>
      </c>
      <c r="T68" s="60">
        <f t="shared" si="19"/>
        <v>418.64000000000004</v>
      </c>
      <c r="U68" s="60">
        <f t="shared" si="19"/>
        <v>414.64000000000004</v>
      </c>
      <c r="V68" s="60">
        <f t="shared" si="19"/>
        <v>412.34000000000003</v>
      </c>
      <c r="W68" s="60">
        <f t="shared" ref="W68:X68" si="21">SUM(W55:W67)</f>
        <v>407.44</v>
      </c>
      <c r="X68" s="60">
        <f t="shared" si="21"/>
        <v>405.44</v>
      </c>
      <c r="Y68" s="60">
        <f t="shared" ref="Y68:Z68" si="22">SUM(Y55:Y67)</f>
        <v>405.44</v>
      </c>
      <c r="Z68" s="60">
        <f t="shared" si="22"/>
        <v>435.54</v>
      </c>
      <c r="AA68" s="60">
        <f t="shared" ref="AA68" si="23">SUM(AA55:AA67)</f>
        <v>435.54</v>
      </c>
      <c r="AB68" s="60">
        <f t="shared" si="19"/>
        <v>432.34</v>
      </c>
      <c r="AC68" s="60">
        <f t="shared" ref="AC68:AD68" si="24">SUM(AC55:AC67)</f>
        <v>432.34</v>
      </c>
      <c r="AD68" s="60">
        <f t="shared" si="24"/>
        <v>436.44</v>
      </c>
      <c r="AE68" s="60">
        <f t="shared" ref="AE68:AF68" si="25">SUM(AE55:AE67)</f>
        <v>436.44</v>
      </c>
      <c r="AF68" s="60">
        <f t="shared" si="25"/>
        <v>434.94</v>
      </c>
      <c r="AG68" s="61">
        <f t="shared" si="19"/>
        <v>489.91</v>
      </c>
      <c r="AH68" s="47">
        <f t="shared" si="2"/>
        <v>436.44</v>
      </c>
      <c r="AI68" s="48">
        <f t="shared" si="3"/>
        <v>405.44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/>
      <c r="N69" s="45">
        <v>14</v>
      </c>
      <c r="O69" s="45">
        <v>14</v>
      </c>
      <c r="P69" s="45">
        <v>14</v>
      </c>
      <c r="Q69" s="45">
        <v>14.9</v>
      </c>
      <c r="R69" s="45">
        <v>10</v>
      </c>
      <c r="S69" s="45">
        <v>10</v>
      </c>
      <c r="T69" s="45">
        <v>14</v>
      </c>
      <c r="U69" s="45">
        <v>14</v>
      </c>
      <c r="V69" s="45">
        <v>14</v>
      </c>
      <c r="W69" s="45">
        <v>14</v>
      </c>
      <c r="X69" s="45">
        <v>0</v>
      </c>
      <c r="Y69" s="45">
        <v>0</v>
      </c>
      <c r="Z69" s="45">
        <v>44.5</v>
      </c>
      <c r="AA69" s="45">
        <v>24.8</v>
      </c>
      <c r="AB69" s="45">
        <v>24.7</v>
      </c>
      <c r="AC69" s="45">
        <v>14</v>
      </c>
      <c r="AD69" s="45">
        <v>8</v>
      </c>
      <c r="AE69" s="45">
        <v>0</v>
      </c>
      <c r="AF69" s="45">
        <v>0</v>
      </c>
      <c r="AG69" s="51">
        <v>60</v>
      </c>
      <c r="AH69" s="47">
        <f t="shared" si="2"/>
        <v>44.5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4</v>
      </c>
      <c r="K70" s="45">
        <v>0</v>
      </c>
      <c r="L70" s="45">
        <v>0</v>
      </c>
      <c r="M70" s="64"/>
      <c r="N70" s="64">
        <v>7.5</v>
      </c>
      <c r="O70" s="64">
        <v>6.8</v>
      </c>
      <c r="P70" s="64">
        <v>6.8</v>
      </c>
      <c r="Q70" s="64">
        <v>6.4</v>
      </c>
      <c r="R70" s="64">
        <v>4.5</v>
      </c>
      <c r="S70" s="64">
        <v>4.5</v>
      </c>
      <c r="T70" s="64">
        <v>7</v>
      </c>
      <c r="U70" s="64">
        <v>7</v>
      </c>
      <c r="V70" s="64">
        <v>7</v>
      </c>
      <c r="W70" s="64">
        <v>5.5</v>
      </c>
      <c r="X70" s="64">
        <v>0</v>
      </c>
      <c r="Y70" s="64">
        <v>0</v>
      </c>
      <c r="Z70" s="64">
        <v>15.2</v>
      </c>
      <c r="AA70" s="64">
        <v>15.5</v>
      </c>
      <c r="AB70" s="64">
        <v>15</v>
      </c>
      <c r="AC70" s="64">
        <v>6.1</v>
      </c>
      <c r="AD70" s="64">
        <v>4</v>
      </c>
      <c r="AE70" s="64">
        <v>0</v>
      </c>
      <c r="AF70" s="64">
        <v>0</v>
      </c>
      <c r="AG70" s="54">
        <v>32</v>
      </c>
      <c r="AH70" s="47">
        <f t="shared" si="2"/>
        <v>15.5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2</v>
      </c>
      <c r="K71" s="45">
        <v>0</v>
      </c>
      <c r="L71" s="45">
        <v>0</v>
      </c>
      <c r="M71" s="66"/>
      <c r="N71" s="66">
        <v>2.7</v>
      </c>
      <c r="O71" s="66">
        <v>2.5</v>
      </c>
      <c r="P71" s="66">
        <v>2.5</v>
      </c>
      <c r="Q71" s="66">
        <v>2.2999999999999998</v>
      </c>
      <c r="R71" s="66">
        <v>1.6</v>
      </c>
      <c r="S71" s="66">
        <v>1.6</v>
      </c>
      <c r="T71" s="66">
        <v>2.5</v>
      </c>
      <c r="U71" s="66">
        <v>2.5</v>
      </c>
      <c r="V71" s="66">
        <v>2.5</v>
      </c>
      <c r="W71" s="66">
        <v>2</v>
      </c>
      <c r="X71" s="66">
        <v>0</v>
      </c>
      <c r="Y71" s="66">
        <v>0</v>
      </c>
      <c r="Z71" s="66">
        <v>5.5</v>
      </c>
      <c r="AA71" s="66">
        <v>5.7</v>
      </c>
      <c r="AB71" s="66">
        <v>5.5</v>
      </c>
      <c r="AC71" s="66">
        <v>2.2000000000000002</v>
      </c>
      <c r="AD71" s="66">
        <v>2.2000000000000002</v>
      </c>
      <c r="AE71" s="66">
        <v>0</v>
      </c>
      <c r="AF71" s="66">
        <v>0</v>
      </c>
      <c r="AG71" s="67">
        <v>14</v>
      </c>
      <c r="AH71" s="47">
        <f t="shared" si="2"/>
        <v>5.7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C72" si="26">M69+M70+M71</f>
        <v>0</v>
      </c>
      <c r="N72" s="60">
        <f t="shared" si="26"/>
        <v>24.2</v>
      </c>
      <c r="O72" s="60">
        <f t="shared" si="26"/>
        <v>23.3</v>
      </c>
      <c r="P72" s="60">
        <f t="shared" si="26"/>
        <v>23.3</v>
      </c>
      <c r="Q72" s="60">
        <f t="shared" si="26"/>
        <v>23.6</v>
      </c>
      <c r="R72" s="60">
        <f t="shared" si="26"/>
        <v>16.100000000000001</v>
      </c>
      <c r="S72" s="60">
        <f t="shared" ref="S72" si="27">S69+S70+S71</f>
        <v>16.100000000000001</v>
      </c>
      <c r="T72" s="60">
        <f t="shared" si="26"/>
        <v>23.5</v>
      </c>
      <c r="U72" s="60">
        <f t="shared" si="26"/>
        <v>23.5</v>
      </c>
      <c r="V72" s="60">
        <f t="shared" si="26"/>
        <v>23.5</v>
      </c>
      <c r="W72" s="60">
        <f t="shared" ref="W72:X72" si="28">W69+W70+W71</f>
        <v>21.5</v>
      </c>
      <c r="X72" s="60">
        <f t="shared" si="28"/>
        <v>0</v>
      </c>
      <c r="Y72" s="60">
        <f t="shared" ref="Y72:Z72" si="29">Y69+Y70+Y71</f>
        <v>0</v>
      </c>
      <c r="Z72" s="60">
        <f t="shared" si="29"/>
        <v>65.2</v>
      </c>
      <c r="AA72" s="60">
        <f t="shared" ref="AA72" si="30">AA69+AA70+AA71</f>
        <v>46</v>
      </c>
      <c r="AB72" s="60">
        <f t="shared" si="26"/>
        <v>45.2</v>
      </c>
      <c r="AC72" s="60">
        <f t="shared" si="26"/>
        <v>22.3</v>
      </c>
      <c r="AD72" s="60">
        <f t="shared" ref="AD72:AE72" si="31">AD69+AD70+AD71</f>
        <v>14.2</v>
      </c>
      <c r="AE72" s="60">
        <f t="shared" si="31"/>
        <v>0</v>
      </c>
      <c r="AF72" s="60">
        <f t="shared" ref="AF72" si="32">AF69+AF70+AF71</f>
        <v>0</v>
      </c>
      <c r="AG72" s="61">
        <f>SUM(AG69:AG71)</f>
        <v>106</v>
      </c>
      <c r="AH72" s="47">
        <f t="shared" si="2"/>
        <v>65.2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-3.6</v>
      </c>
      <c r="C73" s="45">
        <v>-7</v>
      </c>
      <c r="D73" s="45">
        <v>-42</v>
      </c>
      <c r="E73" s="45">
        <v>-29.2</v>
      </c>
      <c r="F73" s="45">
        <v>-33</v>
      </c>
      <c r="G73" s="45">
        <v>-51.2</v>
      </c>
      <c r="H73" s="45">
        <v>-52.3</v>
      </c>
      <c r="I73" s="45">
        <v>-58.8</v>
      </c>
      <c r="J73" s="45">
        <v>-62</v>
      </c>
      <c r="K73" s="45">
        <v>-64.400000000000006</v>
      </c>
      <c r="L73" s="45">
        <v>-62.5</v>
      </c>
      <c r="M73" s="45">
        <v>-61.2</v>
      </c>
      <c r="N73" s="45">
        <v>-25.6</v>
      </c>
      <c r="O73" s="45">
        <v>-1.4</v>
      </c>
      <c r="P73" s="45">
        <v>11</v>
      </c>
      <c r="Q73" s="45">
        <v>-10.6</v>
      </c>
      <c r="R73" s="45">
        <v>-11.3</v>
      </c>
      <c r="S73" s="45">
        <v>-11.3</v>
      </c>
      <c r="T73" s="45">
        <v>-8</v>
      </c>
      <c r="U73" s="45">
        <v>-10</v>
      </c>
      <c r="V73" s="45">
        <v>-14</v>
      </c>
      <c r="W73" s="45">
        <v>-15.7</v>
      </c>
      <c r="X73" s="45">
        <v>-17</v>
      </c>
      <c r="Y73" s="45">
        <v>0</v>
      </c>
      <c r="Z73" s="45">
        <v>27.9</v>
      </c>
      <c r="AA73" s="45">
        <v>28.5</v>
      </c>
      <c r="AB73" s="45">
        <v>43.3</v>
      </c>
      <c r="AC73" s="45">
        <v>10</v>
      </c>
      <c r="AD73" s="45">
        <v>9.4</v>
      </c>
      <c r="AE73" s="45">
        <v>3.6</v>
      </c>
      <c r="AF73" s="45">
        <v>-9.3000000000000007</v>
      </c>
      <c r="AG73" s="51"/>
      <c r="AH73" s="47">
        <f t="shared" si="2"/>
        <v>43.3</v>
      </c>
      <c r="AI73" s="48">
        <f t="shared" si="3"/>
        <v>-64.400000000000006</v>
      </c>
      <c r="AK73" s="50"/>
    </row>
    <row r="74" spans="1:40" x14ac:dyDescent="0.25">
      <c r="A74" s="53" t="s">
        <v>82</v>
      </c>
      <c r="B74" s="64"/>
      <c r="C74" s="64"/>
      <c r="D74" s="64"/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-302</v>
      </c>
      <c r="C75" s="64">
        <v>-334</v>
      </c>
      <c r="D75" s="64">
        <v>-356</v>
      </c>
      <c r="E75" s="64">
        <v>-347</v>
      </c>
      <c r="F75" s="64">
        <v>-276.60000000000002</v>
      </c>
      <c r="G75" s="64">
        <v>-397</v>
      </c>
      <c r="H75" s="64">
        <v>-440</v>
      </c>
      <c r="I75" s="64">
        <v>-426</v>
      </c>
      <c r="J75" s="64">
        <v>-410</v>
      </c>
      <c r="K75" s="64">
        <v>-432.3</v>
      </c>
      <c r="L75" s="64">
        <v>-446.3</v>
      </c>
      <c r="M75" s="64">
        <v>-423.5</v>
      </c>
      <c r="N75" s="64">
        <v>-416.9</v>
      </c>
      <c r="O75" s="64">
        <v>-435.6</v>
      </c>
      <c r="P75" s="64">
        <v>-405.2</v>
      </c>
      <c r="Q75" s="64">
        <v>-378.9</v>
      </c>
      <c r="R75" s="64">
        <v>-355.7</v>
      </c>
      <c r="S75" s="64">
        <v>-355.7</v>
      </c>
      <c r="T75" s="64">
        <v>-372</v>
      </c>
      <c r="U75" s="64">
        <v>-400</v>
      </c>
      <c r="V75" s="64">
        <v>-464</v>
      </c>
      <c r="W75" s="64">
        <v>-441.5</v>
      </c>
      <c r="X75" s="64">
        <v>-442</v>
      </c>
      <c r="Y75" s="64">
        <v>-316.89999999999998</v>
      </c>
      <c r="Z75" s="64">
        <v>-336.3</v>
      </c>
      <c r="AA75" s="64">
        <v>-325.39999999999998</v>
      </c>
      <c r="AB75" s="64">
        <v>-353.6</v>
      </c>
      <c r="AC75" s="64">
        <v>-342</v>
      </c>
      <c r="AD75" s="64">
        <v>-331</v>
      </c>
      <c r="AE75" s="64">
        <v>-323</v>
      </c>
      <c r="AF75" s="64">
        <v>-347</v>
      </c>
      <c r="AG75" s="74"/>
      <c r="AH75" s="47">
        <f t="shared" si="2"/>
        <v>-276.60000000000002</v>
      </c>
      <c r="AI75" s="48">
        <f t="shared" si="3"/>
        <v>-464</v>
      </c>
      <c r="AK75" s="50"/>
    </row>
    <row r="76" spans="1:40" x14ac:dyDescent="0.25">
      <c r="A76" s="53" t="s">
        <v>84</v>
      </c>
      <c r="B76" s="64"/>
      <c r="C76" s="64"/>
      <c r="D76" s="64"/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33">MAX(B77:AF77)</f>
        <v>0</v>
      </c>
      <c r="AI77" s="48">
        <f t="shared" ref="AI77:AI120" si="34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33"/>
        <v>0</v>
      </c>
      <c r="AI78" s="48">
        <f t="shared" si="34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33"/>
        <v>0</v>
      </c>
      <c r="AI79" s="48">
        <f t="shared" si="3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33"/>
        <v>0</v>
      </c>
      <c r="AI80" s="48">
        <f t="shared" si="3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33"/>
        <v>0</v>
      </c>
      <c r="AI81" s="48">
        <f t="shared" si="3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33"/>
        <v>0</v>
      </c>
      <c r="AI82" s="48">
        <f t="shared" si="3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33"/>
        <v>0</v>
      </c>
      <c r="AI83" s="48">
        <f t="shared" si="3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35">SUMIF(B73:B83,"&gt;0")</f>
        <v>0</v>
      </c>
      <c r="C84" s="60">
        <f t="shared" si="35"/>
        <v>0</v>
      </c>
      <c r="D84" s="60">
        <f t="shared" si="35"/>
        <v>0</v>
      </c>
      <c r="E84" s="60">
        <f t="shared" si="35"/>
        <v>0</v>
      </c>
      <c r="F84" s="60">
        <f t="shared" si="35"/>
        <v>0</v>
      </c>
      <c r="G84" s="60">
        <f t="shared" si="35"/>
        <v>0</v>
      </c>
      <c r="H84" s="60">
        <f t="shared" si="35"/>
        <v>0</v>
      </c>
      <c r="I84" s="60">
        <f t="shared" si="35"/>
        <v>0</v>
      </c>
      <c r="J84" s="60">
        <f t="shared" si="35"/>
        <v>0</v>
      </c>
      <c r="K84" s="60">
        <f t="shared" si="35"/>
        <v>0</v>
      </c>
      <c r="L84" s="60">
        <f t="shared" si="35"/>
        <v>0</v>
      </c>
      <c r="M84" s="60">
        <f t="shared" si="35"/>
        <v>0</v>
      </c>
      <c r="N84" s="60">
        <f t="shared" si="35"/>
        <v>0</v>
      </c>
      <c r="O84" s="60">
        <f t="shared" si="35"/>
        <v>0</v>
      </c>
      <c r="P84" s="60">
        <f t="shared" si="35"/>
        <v>11</v>
      </c>
      <c r="Q84" s="60">
        <f t="shared" si="35"/>
        <v>0</v>
      </c>
      <c r="R84" s="60">
        <f t="shared" si="35"/>
        <v>0</v>
      </c>
      <c r="S84" s="60">
        <f t="shared" ref="S84" si="36">SUMIF(S73:S83,"&gt;0")</f>
        <v>0</v>
      </c>
      <c r="T84" s="60">
        <f t="shared" si="35"/>
        <v>0</v>
      </c>
      <c r="U84" s="60">
        <f t="shared" si="35"/>
        <v>0</v>
      </c>
      <c r="V84" s="60">
        <f t="shared" si="35"/>
        <v>0</v>
      </c>
      <c r="W84" s="60">
        <f t="shared" ref="W84:X84" si="37">SUMIF(W73:W83,"&gt;0")</f>
        <v>0</v>
      </c>
      <c r="X84" s="60">
        <f t="shared" si="37"/>
        <v>0</v>
      </c>
      <c r="Y84" s="60">
        <f t="shared" ref="Y84:Z84" si="38">SUMIF(Y73:Y83,"&gt;0")</f>
        <v>0</v>
      </c>
      <c r="Z84" s="60">
        <f t="shared" si="38"/>
        <v>27.9</v>
      </c>
      <c r="AA84" s="60">
        <f t="shared" ref="AA84" si="39">SUMIF(AA73:AA83,"&gt;0")</f>
        <v>28.5</v>
      </c>
      <c r="AB84" s="60">
        <f t="shared" si="35"/>
        <v>43.3</v>
      </c>
      <c r="AC84" s="60">
        <f t="shared" si="35"/>
        <v>10</v>
      </c>
      <c r="AD84" s="60">
        <f t="shared" ref="AD84" si="40">SUMIF(AD73:AD83,"&gt;0")</f>
        <v>9.4</v>
      </c>
      <c r="AE84" s="60">
        <f t="shared" si="35"/>
        <v>3.6</v>
      </c>
      <c r="AF84" s="60">
        <f t="shared" si="35"/>
        <v>0</v>
      </c>
      <c r="AG84" s="87">
        <f>SUM(AG73:AG83)</f>
        <v>0</v>
      </c>
      <c r="AH84" s="47">
        <f t="shared" si="33"/>
        <v>43.3</v>
      </c>
      <c r="AI84" s="48">
        <f t="shared" si="34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33"/>
        <v>0</v>
      </c>
      <c r="AI85" s="48">
        <f t="shared" si="34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33"/>
        <v>0</v>
      </c>
      <c r="AI86" s="48">
        <f t="shared" si="3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33"/>
        <v>0</v>
      </c>
      <c r="AI87" s="48">
        <f t="shared" si="3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33"/>
        <v>0</v>
      </c>
      <c r="AI88" s="48">
        <f t="shared" si="34"/>
        <v>0</v>
      </c>
    </row>
    <row r="89" spans="1:40" ht="15.75" thickBot="1" x14ac:dyDescent="0.3">
      <c r="A89" s="73" t="s">
        <v>100</v>
      </c>
      <c r="B89" s="94">
        <f t="shared" ref="B89:AG89" si="41">B50+B54+B72+B68+B84+B88</f>
        <v>2034.94</v>
      </c>
      <c r="C89" s="94">
        <f t="shared" si="41"/>
        <v>2034.94</v>
      </c>
      <c r="D89" s="94">
        <f t="shared" si="41"/>
        <v>2074.1400000000003</v>
      </c>
      <c r="E89" s="94">
        <f t="shared" si="41"/>
        <v>2064.04</v>
      </c>
      <c r="F89" s="94">
        <f t="shared" si="41"/>
        <v>1981.7399999999998</v>
      </c>
      <c r="G89" s="94">
        <f t="shared" si="41"/>
        <v>2072.7399999999998</v>
      </c>
      <c r="H89" s="94">
        <f t="shared" si="41"/>
        <v>2072.7399999999998</v>
      </c>
      <c r="I89" s="94">
        <f t="shared" si="41"/>
        <v>2089.04</v>
      </c>
      <c r="J89" s="94">
        <f t="shared" si="41"/>
        <v>2110.04</v>
      </c>
      <c r="K89" s="94">
        <f t="shared" si="41"/>
        <v>2158.2399999999998</v>
      </c>
      <c r="L89" s="94">
        <f t="shared" si="41"/>
        <v>2189.54</v>
      </c>
      <c r="M89" s="94">
        <f t="shared" si="41"/>
        <v>2194.54</v>
      </c>
      <c r="N89" s="94">
        <f t="shared" si="41"/>
        <v>2174.7400000000002</v>
      </c>
      <c r="O89" s="94">
        <f t="shared" si="41"/>
        <v>2136.2399999999998</v>
      </c>
      <c r="P89" s="94">
        <f t="shared" si="41"/>
        <v>2132.2399999999998</v>
      </c>
      <c r="Q89" s="94">
        <f t="shared" si="41"/>
        <v>2141.54</v>
      </c>
      <c r="R89" s="94">
        <f t="shared" si="41"/>
        <v>2109.2399999999998</v>
      </c>
      <c r="S89" s="94">
        <f t="shared" ref="S89" si="42">S50+S54+S72+S68+S84+S88</f>
        <v>2109.2399999999998</v>
      </c>
      <c r="T89" s="94">
        <f t="shared" si="41"/>
        <v>2146.64</v>
      </c>
      <c r="U89" s="94">
        <f t="shared" si="41"/>
        <v>2142.64</v>
      </c>
      <c r="V89" s="94">
        <f t="shared" si="41"/>
        <v>2140.34</v>
      </c>
      <c r="W89" s="94">
        <f t="shared" ref="W89:X89" si="43">W50+W54+W72+W68+W84+W88</f>
        <v>2133.44</v>
      </c>
      <c r="X89" s="94">
        <f t="shared" si="43"/>
        <v>2109.94</v>
      </c>
      <c r="Y89" s="94">
        <f t="shared" ref="Y89:Z89" si="44">Y50+Y54+Y72+Y68+Y84+Y88</f>
        <v>2109.94</v>
      </c>
      <c r="Z89" s="94">
        <f t="shared" si="44"/>
        <v>2245.1400000000003</v>
      </c>
      <c r="AA89" s="94">
        <f t="shared" ref="AA89" si="45">AA50+AA54+AA72+AA68+AA84+AA88</f>
        <v>2226.54</v>
      </c>
      <c r="AB89" s="94">
        <f t="shared" si="41"/>
        <v>2235.7400000000002</v>
      </c>
      <c r="AC89" s="94">
        <f t="shared" si="41"/>
        <v>2179.54</v>
      </c>
      <c r="AD89" s="94">
        <f t="shared" ref="AD89" si="46">AD50+AD54+AD72+AD68+AD84+AD88</f>
        <v>2174.94</v>
      </c>
      <c r="AE89" s="94">
        <f t="shared" si="41"/>
        <v>2132.94</v>
      </c>
      <c r="AF89" s="94">
        <f t="shared" si="41"/>
        <v>2131.7400000000002</v>
      </c>
      <c r="AG89" s="61">
        <f t="shared" si="41"/>
        <v>2111.5500000000002</v>
      </c>
      <c r="AH89" s="47">
        <f t="shared" si="33"/>
        <v>2245.1400000000003</v>
      </c>
      <c r="AI89" s="48">
        <f t="shared" si="34"/>
        <v>1981.7399999999998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33"/>
        <v>0</v>
      </c>
      <c r="AI90" s="48">
        <f t="shared" si="34"/>
        <v>0</v>
      </c>
    </row>
    <row r="91" spans="1:40" ht="15.75" thickBot="1" x14ac:dyDescent="0.3">
      <c r="A91" s="73" t="s">
        <v>102</v>
      </c>
      <c r="B91" s="94">
        <f t="shared" ref="B91:AF91" si="47">B89+B90</f>
        <v>2034.94</v>
      </c>
      <c r="C91" s="94">
        <f t="shared" si="47"/>
        <v>2034.94</v>
      </c>
      <c r="D91" s="94">
        <f t="shared" si="47"/>
        <v>2074.1400000000003</v>
      </c>
      <c r="E91" s="94">
        <f t="shared" si="47"/>
        <v>2064.04</v>
      </c>
      <c r="F91" s="94">
        <f t="shared" si="47"/>
        <v>1981.7399999999998</v>
      </c>
      <c r="G91" s="94">
        <f t="shared" si="47"/>
        <v>2072.7399999999998</v>
      </c>
      <c r="H91" s="94">
        <f t="shared" si="47"/>
        <v>2072.7399999999998</v>
      </c>
      <c r="I91" s="94">
        <f t="shared" si="47"/>
        <v>2089.04</v>
      </c>
      <c r="J91" s="94">
        <f t="shared" si="47"/>
        <v>2110.04</v>
      </c>
      <c r="K91" s="94">
        <f t="shared" si="47"/>
        <v>2158.2399999999998</v>
      </c>
      <c r="L91" s="94">
        <f t="shared" si="47"/>
        <v>2189.54</v>
      </c>
      <c r="M91" s="94">
        <f t="shared" si="47"/>
        <v>2194.54</v>
      </c>
      <c r="N91" s="94">
        <f t="shared" si="47"/>
        <v>2174.7400000000002</v>
      </c>
      <c r="O91" s="94">
        <f t="shared" si="47"/>
        <v>2136.2399999999998</v>
      </c>
      <c r="P91" s="94">
        <f t="shared" si="47"/>
        <v>2132.2399999999998</v>
      </c>
      <c r="Q91" s="94">
        <f t="shared" si="47"/>
        <v>2141.54</v>
      </c>
      <c r="R91" s="94">
        <f t="shared" si="47"/>
        <v>2109.2399999999998</v>
      </c>
      <c r="S91" s="94">
        <f t="shared" ref="S91" si="48">S89+S90</f>
        <v>2109.2399999999998</v>
      </c>
      <c r="T91" s="94">
        <f t="shared" si="47"/>
        <v>2146.64</v>
      </c>
      <c r="U91" s="94">
        <f t="shared" si="47"/>
        <v>2142.64</v>
      </c>
      <c r="V91" s="94">
        <f t="shared" si="47"/>
        <v>2140.34</v>
      </c>
      <c r="W91" s="94">
        <f t="shared" ref="W91:X91" si="49">W89+W90</f>
        <v>2133.44</v>
      </c>
      <c r="X91" s="94">
        <f t="shared" si="49"/>
        <v>2109.94</v>
      </c>
      <c r="Y91" s="94">
        <f t="shared" ref="Y91:Z91" si="50">Y89+Y90</f>
        <v>2109.94</v>
      </c>
      <c r="Z91" s="94">
        <f t="shared" si="50"/>
        <v>2245.1400000000003</v>
      </c>
      <c r="AA91" s="94">
        <f t="shared" ref="AA91" si="51">AA89+AA90</f>
        <v>2226.54</v>
      </c>
      <c r="AB91" s="94">
        <f t="shared" si="47"/>
        <v>2235.7400000000002</v>
      </c>
      <c r="AC91" s="94">
        <f t="shared" si="47"/>
        <v>2179.54</v>
      </c>
      <c r="AD91" s="94">
        <f t="shared" si="47"/>
        <v>2174.94</v>
      </c>
      <c r="AE91" s="94">
        <f t="shared" si="47"/>
        <v>2132.94</v>
      </c>
      <c r="AF91" s="94">
        <f t="shared" si="47"/>
        <v>2131.7400000000002</v>
      </c>
      <c r="AG91" s="87">
        <f>AG88+AG84+AG72+AG68+AG50+AG90</f>
        <v>1573.45</v>
      </c>
      <c r="AH91" s="47">
        <f t="shared" si="33"/>
        <v>2245.1400000000003</v>
      </c>
      <c r="AI91" s="48">
        <f t="shared" si="34"/>
        <v>1981.7399999999998</v>
      </c>
    </row>
    <row r="92" spans="1:40" ht="15.75" thickBot="1" x14ac:dyDescent="0.3">
      <c r="A92" s="73" t="s">
        <v>103</v>
      </c>
      <c r="B92" s="94">
        <f>B91-(-B99)</f>
        <v>1732.94</v>
      </c>
      <c r="C92" s="94">
        <f t="shared" ref="C92:AF92" si="52">C91-(-C99)</f>
        <v>1700.94</v>
      </c>
      <c r="D92" s="94">
        <f t="shared" si="52"/>
        <v>1718.1400000000003</v>
      </c>
      <c r="E92" s="94">
        <f t="shared" si="52"/>
        <v>1717.04</v>
      </c>
      <c r="F92" s="94">
        <f t="shared" si="52"/>
        <v>1705.1399999999999</v>
      </c>
      <c r="G92" s="94">
        <f t="shared" si="52"/>
        <v>1675.7399999999998</v>
      </c>
      <c r="H92" s="94">
        <f t="shared" si="52"/>
        <v>1632.7399999999998</v>
      </c>
      <c r="I92" s="94">
        <f t="shared" si="52"/>
        <v>1663.04</v>
      </c>
      <c r="J92" s="94">
        <f t="shared" si="52"/>
        <v>1700.04</v>
      </c>
      <c r="K92" s="94">
        <f t="shared" si="52"/>
        <v>1725.9399999999998</v>
      </c>
      <c r="L92" s="94">
        <f t="shared" si="52"/>
        <v>1743.24</v>
      </c>
      <c r="M92" s="94">
        <f t="shared" si="52"/>
        <v>1771.04</v>
      </c>
      <c r="N92" s="94">
        <f t="shared" si="52"/>
        <v>1757.8400000000001</v>
      </c>
      <c r="O92" s="94">
        <f t="shared" si="52"/>
        <v>1700.6399999999999</v>
      </c>
      <c r="P92" s="94">
        <f t="shared" si="52"/>
        <v>1727.0399999999997</v>
      </c>
      <c r="Q92" s="94">
        <f t="shared" si="52"/>
        <v>1762.6399999999999</v>
      </c>
      <c r="R92" s="94">
        <f t="shared" si="52"/>
        <v>1753.5399999999997</v>
      </c>
      <c r="S92" s="94">
        <f t="shared" ref="S92" si="53">S91-(-S99)</f>
        <v>1753.5399999999997</v>
      </c>
      <c r="T92" s="94">
        <f t="shared" si="52"/>
        <v>1774.6399999999999</v>
      </c>
      <c r="U92" s="94">
        <f t="shared" si="52"/>
        <v>1742.6399999999999</v>
      </c>
      <c r="V92" s="94">
        <f t="shared" si="52"/>
        <v>1676.3400000000001</v>
      </c>
      <c r="W92" s="94">
        <f t="shared" ref="W92:X92" si="54">W91-(-W99)</f>
        <v>1691.94</v>
      </c>
      <c r="X92" s="94">
        <f t="shared" si="54"/>
        <v>1667.94</v>
      </c>
      <c r="Y92" s="94">
        <f t="shared" ref="Y92:Z92" si="55">Y91-(-Y99)</f>
        <v>1793.04</v>
      </c>
      <c r="Z92" s="94">
        <f t="shared" si="55"/>
        <v>1908.8400000000004</v>
      </c>
      <c r="AA92" s="94">
        <f t="shared" ref="AA92" si="56">AA91-(-AA99)</f>
        <v>1901.1399999999999</v>
      </c>
      <c r="AB92" s="94">
        <f t="shared" si="52"/>
        <v>1882.1400000000003</v>
      </c>
      <c r="AC92" s="94">
        <f t="shared" si="52"/>
        <v>1837.54</v>
      </c>
      <c r="AD92" s="94">
        <f t="shared" si="52"/>
        <v>1843.94</v>
      </c>
      <c r="AE92" s="94">
        <f t="shared" si="52"/>
        <v>1809.94</v>
      </c>
      <c r="AF92" s="94">
        <f t="shared" si="52"/>
        <v>1784.7400000000002</v>
      </c>
      <c r="AG92" s="87"/>
      <c r="AH92" s="47">
        <f t="shared" si="33"/>
        <v>1908.8400000000004</v>
      </c>
      <c r="AI92" s="48">
        <f t="shared" si="34"/>
        <v>1632.7399999999998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33"/>
        <v>0</v>
      </c>
      <c r="AI93" s="48">
        <f t="shared" si="3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33"/>
        <v>0</v>
      </c>
      <c r="AI94" s="48">
        <f t="shared" si="3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33"/>
        <v>0</v>
      </c>
      <c r="AI95" s="48">
        <f t="shared" si="3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33"/>
        <v>0</v>
      </c>
      <c r="AI96" s="48">
        <f t="shared" si="3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33"/>
        <v>0</v>
      </c>
      <c r="AI97" s="48">
        <f t="shared" si="3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33"/>
        <v>0</v>
      </c>
      <c r="AI98" s="48">
        <f t="shared" si="34"/>
        <v>0</v>
      </c>
    </row>
    <row r="99" spans="1:37" ht="15.75" thickBot="1" x14ac:dyDescent="0.3">
      <c r="A99" s="98" t="s">
        <v>107</v>
      </c>
      <c r="B99" s="60">
        <f>B75</f>
        <v>-302</v>
      </c>
      <c r="C99" s="60">
        <f t="shared" ref="C99:AF99" si="57">C75</f>
        <v>-334</v>
      </c>
      <c r="D99" s="60">
        <f t="shared" si="57"/>
        <v>-356</v>
      </c>
      <c r="E99" s="60">
        <f t="shared" si="57"/>
        <v>-347</v>
      </c>
      <c r="F99" s="60">
        <f t="shared" si="57"/>
        <v>-276.60000000000002</v>
      </c>
      <c r="G99" s="60">
        <f t="shared" si="57"/>
        <v>-397</v>
      </c>
      <c r="H99" s="60">
        <f t="shared" si="57"/>
        <v>-440</v>
      </c>
      <c r="I99" s="60">
        <f t="shared" si="57"/>
        <v>-426</v>
      </c>
      <c r="J99" s="60">
        <f t="shared" si="57"/>
        <v>-410</v>
      </c>
      <c r="K99" s="60">
        <f t="shared" si="57"/>
        <v>-432.3</v>
      </c>
      <c r="L99" s="60">
        <f t="shared" si="57"/>
        <v>-446.3</v>
      </c>
      <c r="M99" s="60">
        <f t="shared" si="57"/>
        <v>-423.5</v>
      </c>
      <c r="N99" s="60">
        <f t="shared" si="57"/>
        <v>-416.9</v>
      </c>
      <c r="O99" s="60">
        <f t="shared" si="57"/>
        <v>-435.6</v>
      </c>
      <c r="P99" s="60">
        <f t="shared" si="57"/>
        <v>-405.2</v>
      </c>
      <c r="Q99" s="60">
        <f t="shared" si="57"/>
        <v>-378.9</v>
      </c>
      <c r="R99" s="60">
        <f t="shared" si="57"/>
        <v>-355.7</v>
      </c>
      <c r="S99" s="60">
        <f t="shared" ref="S99" si="58">S75</f>
        <v>-355.7</v>
      </c>
      <c r="T99" s="60">
        <f t="shared" si="57"/>
        <v>-372</v>
      </c>
      <c r="U99" s="60">
        <f t="shared" si="57"/>
        <v>-400</v>
      </c>
      <c r="V99" s="60">
        <f t="shared" si="57"/>
        <v>-464</v>
      </c>
      <c r="W99" s="60">
        <f t="shared" ref="W99:X99" si="59">W75</f>
        <v>-441.5</v>
      </c>
      <c r="X99" s="60">
        <f t="shared" si="59"/>
        <v>-442</v>
      </c>
      <c r="Y99" s="60">
        <f t="shared" ref="Y99:Z99" si="60">Y75</f>
        <v>-316.89999999999998</v>
      </c>
      <c r="Z99" s="60">
        <f t="shared" si="60"/>
        <v>-336.3</v>
      </c>
      <c r="AA99" s="60">
        <f t="shared" ref="AA99" si="61">AA75</f>
        <v>-325.39999999999998</v>
      </c>
      <c r="AB99" s="60">
        <f t="shared" si="57"/>
        <v>-353.6</v>
      </c>
      <c r="AC99" s="60">
        <f t="shared" si="57"/>
        <v>-342</v>
      </c>
      <c r="AD99" s="60">
        <f t="shared" si="57"/>
        <v>-331</v>
      </c>
      <c r="AE99" s="60">
        <f t="shared" si="57"/>
        <v>-323</v>
      </c>
      <c r="AF99" s="60">
        <f t="shared" si="57"/>
        <v>-347</v>
      </c>
      <c r="AG99" s="87"/>
      <c r="AH99" s="47">
        <f t="shared" si="33"/>
        <v>-276.60000000000002</v>
      </c>
      <c r="AI99" s="48">
        <f t="shared" si="34"/>
        <v>-464</v>
      </c>
      <c r="AK99" s="50"/>
    </row>
    <row r="100" spans="1:37" ht="15.75" thickBot="1" x14ac:dyDescent="0.3">
      <c r="A100" s="73" t="s">
        <v>108</v>
      </c>
      <c r="B100" s="60">
        <f t="shared" ref="B100:AF100" si="62">B84-B99</f>
        <v>302</v>
      </c>
      <c r="C100" s="60">
        <f t="shared" si="62"/>
        <v>334</v>
      </c>
      <c r="D100" s="60">
        <f t="shared" si="62"/>
        <v>356</v>
      </c>
      <c r="E100" s="60">
        <f t="shared" si="62"/>
        <v>347</v>
      </c>
      <c r="F100" s="60">
        <f t="shared" si="62"/>
        <v>276.60000000000002</v>
      </c>
      <c r="G100" s="60">
        <f t="shared" si="62"/>
        <v>397</v>
      </c>
      <c r="H100" s="60">
        <f t="shared" si="62"/>
        <v>440</v>
      </c>
      <c r="I100" s="60">
        <f t="shared" si="62"/>
        <v>426</v>
      </c>
      <c r="J100" s="60">
        <f t="shared" si="62"/>
        <v>410</v>
      </c>
      <c r="K100" s="60">
        <f t="shared" si="62"/>
        <v>432.3</v>
      </c>
      <c r="L100" s="60">
        <f t="shared" si="62"/>
        <v>446.3</v>
      </c>
      <c r="M100" s="60">
        <f t="shared" si="62"/>
        <v>423.5</v>
      </c>
      <c r="N100" s="60">
        <f t="shared" si="62"/>
        <v>416.9</v>
      </c>
      <c r="O100" s="60">
        <f t="shared" si="62"/>
        <v>435.6</v>
      </c>
      <c r="P100" s="60">
        <f t="shared" si="62"/>
        <v>416.2</v>
      </c>
      <c r="Q100" s="60">
        <f t="shared" si="62"/>
        <v>378.9</v>
      </c>
      <c r="R100" s="60">
        <f t="shared" si="62"/>
        <v>355.7</v>
      </c>
      <c r="S100" s="60">
        <f t="shared" ref="S100" si="63">S84-S99</f>
        <v>355.7</v>
      </c>
      <c r="T100" s="60">
        <f t="shared" si="62"/>
        <v>372</v>
      </c>
      <c r="U100" s="60">
        <f t="shared" si="62"/>
        <v>400</v>
      </c>
      <c r="V100" s="60">
        <f t="shared" si="62"/>
        <v>464</v>
      </c>
      <c r="W100" s="60">
        <f t="shared" ref="W100:X100" si="64">W84-W99</f>
        <v>441.5</v>
      </c>
      <c r="X100" s="60">
        <f t="shared" si="64"/>
        <v>442</v>
      </c>
      <c r="Y100" s="60">
        <f t="shared" ref="Y100:Z100" si="65">Y84-Y99</f>
        <v>316.89999999999998</v>
      </c>
      <c r="Z100" s="60">
        <f t="shared" si="65"/>
        <v>364.2</v>
      </c>
      <c r="AA100" s="60">
        <f t="shared" ref="AA100" si="66">AA84-AA99</f>
        <v>353.9</v>
      </c>
      <c r="AB100" s="60">
        <f t="shared" si="62"/>
        <v>396.90000000000003</v>
      </c>
      <c r="AC100" s="60">
        <f t="shared" si="62"/>
        <v>352</v>
      </c>
      <c r="AD100" s="60">
        <f t="shared" si="62"/>
        <v>340.4</v>
      </c>
      <c r="AE100" s="60">
        <f t="shared" si="62"/>
        <v>326.60000000000002</v>
      </c>
      <c r="AF100" s="60">
        <f t="shared" si="62"/>
        <v>347</v>
      </c>
      <c r="AG100" s="87"/>
      <c r="AH100" s="47">
        <f t="shared" si="33"/>
        <v>464</v>
      </c>
      <c r="AI100" s="48">
        <f t="shared" si="34"/>
        <v>276.60000000000002</v>
      </c>
    </row>
    <row r="101" spans="1:37" x14ac:dyDescent="0.25">
      <c r="A101" s="99" t="s">
        <v>109</v>
      </c>
      <c r="B101" s="100">
        <v>50</v>
      </c>
      <c r="C101" s="100">
        <v>50.023000000000003</v>
      </c>
      <c r="D101" s="100">
        <v>50.018000000000001</v>
      </c>
      <c r="E101" s="100">
        <v>50.040999999999997</v>
      </c>
      <c r="F101" s="100">
        <v>50.024999999999999</v>
      </c>
      <c r="G101" s="100">
        <v>49.972999999999999</v>
      </c>
      <c r="H101" s="100">
        <v>49.91</v>
      </c>
      <c r="I101" s="100">
        <v>49.954000000000001</v>
      </c>
      <c r="J101" s="100">
        <v>50.000999999999998</v>
      </c>
      <c r="K101" s="100">
        <v>50.003999999999998</v>
      </c>
      <c r="L101" s="100">
        <v>50.027000000000001</v>
      </c>
      <c r="M101" s="100">
        <v>50.021000000000001</v>
      </c>
      <c r="N101" s="100">
        <v>49.95</v>
      </c>
      <c r="O101" s="100">
        <v>49.97</v>
      </c>
      <c r="P101" s="100">
        <v>50.02</v>
      </c>
      <c r="Q101" s="100">
        <v>50.036999999999999</v>
      </c>
      <c r="R101" s="100">
        <v>50.012</v>
      </c>
      <c r="S101" s="100">
        <v>50.012</v>
      </c>
      <c r="T101" s="100">
        <v>49.95</v>
      </c>
      <c r="U101" s="100">
        <v>50.07</v>
      </c>
      <c r="V101" s="100">
        <v>49.96</v>
      </c>
      <c r="W101" s="100">
        <v>49.95</v>
      </c>
      <c r="X101" s="100">
        <v>50.06</v>
      </c>
      <c r="Y101" s="100">
        <v>49.99</v>
      </c>
      <c r="Z101" s="100">
        <v>50.015000000000001</v>
      </c>
      <c r="AA101" s="100">
        <v>49.99</v>
      </c>
      <c r="AB101" s="100">
        <v>50.066000000000003</v>
      </c>
      <c r="AC101" s="100">
        <v>50.066000000000003</v>
      </c>
      <c r="AD101" s="100">
        <v>49.98</v>
      </c>
      <c r="AE101" s="100">
        <v>50.048999999999999</v>
      </c>
      <c r="AF101" s="100">
        <v>50.030999999999999</v>
      </c>
      <c r="AG101" s="101"/>
      <c r="AH101" s="47">
        <f t="shared" si="33"/>
        <v>50.07</v>
      </c>
      <c r="AI101" s="48">
        <f t="shared" si="34"/>
        <v>49.91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33"/>
        <v>0</v>
      </c>
      <c r="AI102" s="48">
        <f t="shared" si="34"/>
        <v>0</v>
      </c>
    </row>
    <row r="103" spans="1:37" x14ac:dyDescent="0.25">
      <c r="A103" s="102" t="s">
        <v>111</v>
      </c>
      <c r="B103" s="64">
        <v>126.5</v>
      </c>
      <c r="C103" s="64">
        <v>129.5</v>
      </c>
      <c r="D103" s="64">
        <v>129.69999999999999</v>
      </c>
      <c r="E103" s="64">
        <v>128.6</v>
      </c>
      <c r="F103" s="64">
        <v>128</v>
      </c>
      <c r="G103" s="64">
        <v>128</v>
      </c>
      <c r="H103" s="64">
        <v>127.5</v>
      </c>
      <c r="I103" s="64">
        <v>126.8</v>
      </c>
      <c r="J103" s="64">
        <v>126.8</v>
      </c>
      <c r="K103" s="64">
        <v>126.3</v>
      </c>
      <c r="L103" s="64">
        <v>125</v>
      </c>
      <c r="M103" s="64">
        <v>124.5</v>
      </c>
      <c r="N103" s="64">
        <v>124.5</v>
      </c>
      <c r="O103" s="64">
        <v>123</v>
      </c>
      <c r="P103" s="64">
        <v>123.5</v>
      </c>
      <c r="Q103" s="64">
        <v>123.7</v>
      </c>
      <c r="R103" s="64">
        <v>125.4</v>
      </c>
      <c r="S103" s="64">
        <v>125.4</v>
      </c>
      <c r="T103" s="64">
        <v>123</v>
      </c>
      <c r="U103" s="64">
        <v>126</v>
      </c>
      <c r="V103" s="64">
        <v>126</v>
      </c>
      <c r="W103" s="64">
        <v>125.8</v>
      </c>
      <c r="X103" s="64">
        <v>125.8</v>
      </c>
      <c r="Y103" s="64">
        <v>126.2</v>
      </c>
      <c r="Z103" s="64">
        <v>127.4</v>
      </c>
      <c r="AA103" s="64">
        <v>128.19999999999999</v>
      </c>
      <c r="AB103" s="64">
        <v>128.69999999999999</v>
      </c>
      <c r="AC103" s="64">
        <v>128.69999999999999</v>
      </c>
      <c r="AD103" s="64">
        <v>125.9</v>
      </c>
      <c r="AE103" s="64">
        <v>127.8</v>
      </c>
      <c r="AF103" s="64">
        <v>128</v>
      </c>
      <c r="AG103" s="103"/>
      <c r="AH103" s="47">
        <f t="shared" si="33"/>
        <v>129.69999999999999</v>
      </c>
      <c r="AI103" s="48">
        <f t="shared" si="34"/>
        <v>123</v>
      </c>
    </row>
    <row r="104" spans="1:37" x14ac:dyDescent="0.25">
      <c r="A104" s="102" t="s">
        <v>112</v>
      </c>
      <c r="B104" s="64">
        <v>126.6</v>
      </c>
      <c r="C104" s="64">
        <v>126.6</v>
      </c>
      <c r="D104" s="64">
        <v>127.7</v>
      </c>
      <c r="E104" s="64">
        <v>129</v>
      </c>
      <c r="F104" s="64">
        <v>128.80000000000001</v>
      </c>
      <c r="G104" s="64">
        <v>128.80000000000001</v>
      </c>
      <c r="H104" s="64">
        <v>130.4</v>
      </c>
      <c r="I104" s="64">
        <v>129</v>
      </c>
      <c r="J104" s="64">
        <v>129</v>
      </c>
      <c r="K104" s="64">
        <v>129.5</v>
      </c>
      <c r="L104" s="64">
        <v>126.1</v>
      </c>
      <c r="M104" s="64">
        <v>127</v>
      </c>
      <c r="N104" s="64">
        <v>127</v>
      </c>
      <c r="O104" s="64">
        <v>127.7</v>
      </c>
      <c r="P104" s="64">
        <v>128.4</v>
      </c>
      <c r="Q104" s="64">
        <v>131.19999999999999</v>
      </c>
      <c r="R104" s="64">
        <v>130.4</v>
      </c>
      <c r="S104" s="64">
        <v>130.4</v>
      </c>
      <c r="T104" s="64">
        <v>130</v>
      </c>
      <c r="U104" s="64">
        <v>128</v>
      </c>
      <c r="V104" s="64">
        <v>128</v>
      </c>
      <c r="W104" s="64">
        <v>127</v>
      </c>
      <c r="X104" s="64">
        <v>127</v>
      </c>
      <c r="Y104" s="64">
        <v>127</v>
      </c>
      <c r="Z104" s="64">
        <v>129.4</v>
      </c>
      <c r="AA104" s="64">
        <v>127.3</v>
      </c>
      <c r="AB104" s="64">
        <v>127</v>
      </c>
      <c r="AC104" s="64">
        <v>127</v>
      </c>
      <c r="AD104" s="64">
        <v>124.9</v>
      </c>
      <c r="AE104" s="64">
        <v>128.9</v>
      </c>
      <c r="AF104" s="64">
        <v>128.4</v>
      </c>
      <c r="AG104" s="103"/>
      <c r="AH104" s="47">
        <f t="shared" si="33"/>
        <v>131.19999999999999</v>
      </c>
      <c r="AI104" s="48">
        <f t="shared" si="34"/>
        <v>124.9</v>
      </c>
    </row>
    <row r="105" spans="1:37" x14ac:dyDescent="0.25">
      <c r="A105" s="104" t="s">
        <v>113</v>
      </c>
      <c r="B105" s="64">
        <v>130.69999999999999</v>
      </c>
      <c r="C105" s="64">
        <v>131.6</v>
      </c>
      <c r="D105" s="64">
        <v>132.6</v>
      </c>
      <c r="E105" s="64">
        <v>133.5</v>
      </c>
      <c r="F105" s="64">
        <v>131.19999999999999</v>
      </c>
      <c r="G105" s="64">
        <v>131.19999999999999</v>
      </c>
      <c r="H105" s="64">
        <v>132.80000000000001</v>
      </c>
      <c r="I105" s="64">
        <v>131.6</v>
      </c>
      <c r="J105" s="64">
        <v>131.6</v>
      </c>
      <c r="K105" s="64">
        <v>132.80000000000001</v>
      </c>
      <c r="L105" s="64">
        <v>128.80000000000001</v>
      </c>
      <c r="M105" s="64">
        <v>129</v>
      </c>
      <c r="N105" s="64">
        <v>129</v>
      </c>
      <c r="O105" s="64">
        <v>131.5</v>
      </c>
      <c r="P105" s="64">
        <v>131.6</v>
      </c>
      <c r="Q105" s="64">
        <v>134.5</v>
      </c>
      <c r="R105" s="64">
        <v>132.30000000000001</v>
      </c>
      <c r="S105" s="64">
        <v>132.30000000000001</v>
      </c>
      <c r="T105" s="64">
        <v>132</v>
      </c>
      <c r="U105" s="64">
        <v>130</v>
      </c>
      <c r="V105" s="64">
        <v>130</v>
      </c>
      <c r="W105" s="64">
        <v>128.1</v>
      </c>
      <c r="X105" s="64">
        <v>128.1</v>
      </c>
      <c r="Y105" s="64">
        <v>128.1</v>
      </c>
      <c r="Z105" s="64">
        <v>130.1</v>
      </c>
      <c r="AA105" s="64">
        <v>126.7</v>
      </c>
      <c r="AB105" s="64">
        <v>128</v>
      </c>
      <c r="AC105" s="64">
        <v>128</v>
      </c>
      <c r="AD105" s="64">
        <v>128.9</v>
      </c>
      <c r="AE105" s="64">
        <v>130.9</v>
      </c>
      <c r="AF105" s="64">
        <v>130</v>
      </c>
      <c r="AG105" s="103"/>
      <c r="AH105" s="47">
        <f t="shared" si="33"/>
        <v>134.5</v>
      </c>
      <c r="AI105" s="48">
        <f t="shared" si="34"/>
        <v>126.7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>
        <v>132.30000000000001</v>
      </c>
      <c r="X106" s="105">
        <v>132.30000000000001</v>
      </c>
      <c r="Y106" s="105">
        <v>132.30000000000001</v>
      </c>
      <c r="Z106" s="105">
        <v>132.5</v>
      </c>
      <c r="AA106" s="105">
        <v>133.30000000000001</v>
      </c>
      <c r="AB106" s="105">
        <v>135.5</v>
      </c>
      <c r="AC106" s="105">
        <v>135.5</v>
      </c>
      <c r="AD106" s="105">
        <v>131.69999999999999</v>
      </c>
      <c r="AE106" s="105">
        <v>132.4</v>
      </c>
      <c r="AF106" s="105">
        <v>132.4</v>
      </c>
      <c r="AG106" s="106"/>
      <c r="AH106" s="47">
        <f t="shared" si="33"/>
        <v>135.5</v>
      </c>
      <c r="AI106" s="48">
        <f t="shared" si="34"/>
        <v>131.69999999999999</v>
      </c>
    </row>
    <row r="107" spans="1:37" x14ac:dyDescent="0.25">
      <c r="A107" s="102" t="s">
        <v>115</v>
      </c>
      <c r="B107" s="64">
        <v>129.1</v>
      </c>
      <c r="C107" s="64">
        <v>129.80000000000001</v>
      </c>
      <c r="D107" s="64">
        <v>125.9</v>
      </c>
      <c r="E107" s="64">
        <v>126</v>
      </c>
      <c r="F107" s="64">
        <v>134.6</v>
      </c>
      <c r="G107" s="64">
        <v>134.6</v>
      </c>
      <c r="H107" s="64">
        <v>136.9</v>
      </c>
      <c r="I107" s="64">
        <v>134.4</v>
      </c>
      <c r="J107" s="64">
        <v>134.4</v>
      </c>
      <c r="K107" s="64">
        <v>135.19999999999999</v>
      </c>
      <c r="L107" s="64">
        <v>130.6</v>
      </c>
      <c r="M107" s="64">
        <v>130.30000000000001</v>
      </c>
      <c r="N107" s="64">
        <v>130.30000000000001</v>
      </c>
      <c r="O107" s="64">
        <v>135.1</v>
      </c>
      <c r="P107" s="64">
        <v>133.80000000000001</v>
      </c>
      <c r="Q107" s="64">
        <v>130.4</v>
      </c>
      <c r="R107" s="64">
        <v>128.80000000000001</v>
      </c>
      <c r="S107" s="64">
        <v>128.80000000000001</v>
      </c>
      <c r="T107" s="64">
        <v>134</v>
      </c>
      <c r="U107" s="64">
        <v>132</v>
      </c>
      <c r="V107" s="64">
        <v>132</v>
      </c>
      <c r="W107" s="64">
        <v>133.1</v>
      </c>
      <c r="X107" s="64">
        <v>133.1</v>
      </c>
      <c r="Y107" s="64">
        <v>133.1</v>
      </c>
      <c r="Z107" s="64">
        <v>132</v>
      </c>
      <c r="AA107" s="64">
        <v>130.1</v>
      </c>
      <c r="AB107" s="64">
        <v>128.5</v>
      </c>
      <c r="AC107" s="64">
        <v>128.5</v>
      </c>
      <c r="AD107" s="64">
        <v>127.7</v>
      </c>
      <c r="AE107" s="64">
        <v>131.30000000000001</v>
      </c>
      <c r="AF107" s="64">
        <v>131.30000000000001</v>
      </c>
      <c r="AG107" s="103"/>
      <c r="AH107" s="47">
        <f t="shared" si="33"/>
        <v>136.9</v>
      </c>
      <c r="AI107" s="48">
        <f t="shared" si="34"/>
        <v>125.9</v>
      </c>
    </row>
    <row r="108" spans="1:37" ht="15.75" thickBot="1" x14ac:dyDescent="0.3">
      <c r="A108" s="102" t="s">
        <v>116</v>
      </c>
      <c r="B108" s="91">
        <v>63.4</v>
      </c>
      <c r="C108" s="91">
        <v>64.900000000000006</v>
      </c>
      <c r="D108" s="91">
        <v>65</v>
      </c>
      <c r="E108" s="91">
        <v>64.400000000000006</v>
      </c>
      <c r="F108" s="91">
        <v>64.3</v>
      </c>
      <c r="G108" s="91">
        <v>64.3</v>
      </c>
      <c r="H108" s="91">
        <v>63.7</v>
      </c>
      <c r="I108" s="91">
        <v>63.3</v>
      </c>
      <c r="J108" s="91">
        <v>63.3</v>
      </c>
      <c r="K108" s="91">
        <v>63.1</v>
      </c>
      <c r="L108" s="91">
        <v>62.6</v>
      </c>
      <c r="M108" s="91">
        <v>62.4</v>
      </c>
      <c r="N108" s="91">
        <v>62.4</v>
      </c>
      <c r="O108" s="91">
        <v>61.5</v>
      </c>
      <c r="P108" s="91">
        <v>62</v>
      </c>
      <c r="Q108" s="91">
        <v>62</v>
      </c>
      <c r="R108" s="91">
        <v>62.8</v>
      </c>
      <c r="S108" s="91">
        <v>62.8</v>
      </c>
      <c r="T108" s="91">
        <v>63.2</v>
      </c>
      <c r="U108" s="91">
        <v>62.9</v>
      </c>
      <c r="V108" s="91">
        <v>62.9</v>
      </c>
      <c r="W108" s="91">
        <v>63</v>
      </c>
      <c r="X108" s="91">
        <v>63</v>
      </c>
      <c r="Y108" s="91">
        <v>63</v>
      </c>
      <c r="Z108" s="91">
        <v>63.9</v>
      </c>
      <c r="AA108" s="91">
        <v>64.400000000000006</v>
      </c>
      <c r="AB108" s="91">
        <v>64.3</v>
      </c>
      <c r="AC108" s="91">
        <v>64.3</v>
      </c>
      <c r="AD108" s="91">
        <v>63.1</v>
      </c>
      <c r="AE108" s="91">
        <v>64.2</v>
      </c>
      <c r="AF108" s="91">
        <v>64.2</v>
      </c>
      <c r="AG108" s="107"/>
      <c r="AH108" s="47">
        <f t="shared" si="33"/>
        <v>65</v>
      </c>
      <c r="AI108" s="48">
        <f t="shared" si="34"/>
        <v>61.5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33"/>
        <v>0</v>
      </c>
      <c r="AI109" s="48">
        <f t="shared" si="34"/>
        <v>0</v>
      </c>
    </row>
    <row r="110" spans="1:37" ht="15.75" thickBot="1" x14ac:dyDescent="0.3">
      <c r="A110" s="109" t="s">
        <v>118</v>
      </c>
      <c r="B110" s="110">
        <f t="shared" ref="B110:O110" si="67">SUM(B20,B26,B29:B30,B58,B60:B61,B63,B65,B111:B115,B138,B144,B150,B159,B161,B173,B180,B183:B184,B191,B193,B195,B199:B201,B203:B205,B210,B216:B217,B219:B221,B229,B234)</f>
        <v>46.499999999999957</v>
      </c>
      <c r="C110" s="110">
        <f t="shared" si="67"/>
        <v>46.939999999999969</v>
      </c>
      <c r="D110" s="110">
        <f t="shared" si="67"/>
        <v>30.339999999999979</v>
      </c>
      <c r="E110" s="110">
        <f t="shared" si="67"/>
        <v>24.639999999999997</v>
      </c>
      <c r="F110" s="110">
        <f t="shared" si="67"/>
        <v>38.239999999999981</v>
      </c>
      <c r="G110" s="110">
        <f t="shared" si="67"/>
        <v>38.239999999999981</v>
      </c>
      <c r="H110" s="110">
        <f t="shared" si="67"/>
        <v>51.539999999999964</v>
      </c>
      <c r="I110" s="110">
        <f t="shared" si="67"/>
        <v>109.33999999999997</v>
      </c>
      <c r="J110" s="110">
        <f t="shared" si="67"/>
        <v>120.13999999999999</v>
      </c>
      <c r="K110" s="110">
        <f t="shared" si="67"/>
        <v>184.23999999999998</v>
      </c>
      <c r="L110" s="110">
        <f t="shared" si="67"/>
        <v>208.83999999999997</v>
      </c>
      <c r="M110" s="110">
        <f t="shared" si="67"/>
        <v>220.23999999999992</v>
      </c>
      <c r="N110" s="110">
        <f t="shared" si="67"/>
        <v>208.74000000000004</v>
      </c>
      <c r="O110" s="110">
        <f t="shared" si="67"/>
        <v>199.24</v>
      </c>
      <c r="P110" s="110">
        <v>42</v>
      </c>
      <c r="Q110" s="110">
        <f t="shared" ref="Q110:AF110" si="68">SUM(Q20,Q26,Q29:Q30,Q58,Q60:Q61,Q63,Q65,Q111:Q115,Q138,Q144,Q150,Q159,Q161,Q173,Q180,Q183:Q184,Q191,Q193,Q195,Q199:Q201,Q203:Q205,Q210,Q216:Q217,Q219:Q221,Q229,Q234)</f>
        <v>222.5</v>
      </c>
      <c r="R110" s="110">
        <f t="shared" si="68"/>
        <v>201.2</v>
      </c>
      <c r="S110" s="110">
        <f t="shared" ref="S110" si="69">SUM(S20,S26,S29:S30,S58,S60:S61,S63,S65,S111:S115,S138,S144,S150,S159,S161,S173,S180,S183:S184,S191,S193,S195,S199:S201,S203:S205,S210,S216:S217,S219:S221,S229,S234)</f>
        <v>201.2</v>
      </c>
      <c r="T110" s="110">
        <f t="shared" si="68"/>
        <v>229.89999999999998</v>
      </c>
      <c r="U110" s="110">
        <f t="shared" si="68"/>
        <v>225.89999999999998</v>
      </c>
      <c r="V110" s="110">
        <f t="shared" si="68"/>
        <v>217.59999999999997</v>
      </c>
      <c r="W110" s="110">
        <f t="shared" ref="W110:X110" si="70">SUM(W20,W26,W29:W30,W58,W60:W61,W63,W65,W111:W115,W138,W144,W150,W159,W161,W173,W180,W183:W184,W191,W193,W195,W199:W201,W203:W205,W210,W216:W217,W219:W221,W229,W234)</f>
        <v>223</v>
      </c>
      <c r="X110" s="110">
        <f t="shared" si="70"/>
        <v>222.79999999999998</v>
      </c>
      <c r="Y110" s="110">
        <f t="shared" ref="Y110:Z110" si="71">SUM(Y20,Y26,Y29:Y30,Y58,Y60:Y61,Y63,Y65,Y111:Y115,Y138,Y144,Y150,Y159,Y161,Y173,Y180,Y183:Y184,Y191,Y193,Y195,Y199:Y201,Y203:Y205,Y210,Y216:Y217,Y219:Y221,Y229,Y234)</f>
        <v>279.60000000000002</v>
      </c>
      <c r="Z110" s="110">
        <f t="shared" si="71"/>
        <v>292.09999999999997</v>
      </c>
      <c r="AA110" s="110">
        <f t="shared" ref="AA110" si="72">SUM(AA20,AA26,AA29:AA30,AA58,AA60:AA61,AA63,AA65,AA111:AA115,AA138,AA144,AA150,AA159,AA161,AA173,AA180,AA183:AA184,AA191,AA193,AA195,AA199:AA201,AA203:AA205,AA210,AA216:AA217,AA219:AA221,AA229,AA234)</f>
        <v>265.39999999999992</v>
      </c>
      <c r="AB110" s="110">
        <f t="shared" si="68"/>
        <v>218.49999999999994</v>
      </c>
      <c r="AC110" s="110">
        <f t="shared" si="68"/>
        <v>184.99999999999994</v>
      </c>
      <c r="AD110" s="110">
        <f t="shared" si="68"/>
        <v>174.49999999999994</v>
      </c>
      <c r="AE110" s="110">
        <f t="shared" si="68"/>
        <v>127</v>
      </c>
      <c r="AF110" s="110">
        <f t="shared" si="68"/>
        <v>75.399999999999977</v>
      </c>
      <c r="AG110" s="111"/>
      <c r="AH110" s="47">
        <f t="shared" si="33"/>
        <v>292.09999999999997</v>
      </c>
      <c r="AI110" s="48">
        <f t="shared" si="34"/>
        <v>24.639999999999997</v>
      </c>
    </row>
    <row r="111" spans="1:37" x14ac:dyDescent="0.25">
      <c r="A111" s="99" t="s">
        <v>119</v>
      </c>
      <c r="B111" s="112">
        <v>28.6</v>
      </c>
      <c r="C111" s="112">
        <v>25.6</v>
      </c>
      <c r="D111" s="112">
        <v>24.6</v>
      </c>
      <c r="E111" s="112">
        <v>19.399999999999999</v>
      </c>
      <c r="F111" s="112">
        <v>23.5</v>
      </c>
      <c r="G111" s="112">
        <v>23.5</v>
      </c>
      <c r="H111" s="112">
        <v>38.1</v>
      </c>
      <c r="I111" s="112">
        <v>44</v>
      </c>
      <c r="J111" s="112">
        <v>44</v>
      </c>
      <c r="K111" s="112">
        <v>38.200000000000003</v>
      </c>
      <c r="L111" s="112">
        <v>54.1</v>
      </c>
      <c r="M111" s="112">
        <v>56.5</v>
      </c>
      <c r="N111" s="112">
        <v>60.4</v>
      </c>
      <c r="O111" s="112">
        <v>56.1</v>
      </c>
      <c r="P111" s="112">
        <v>57.4</v>
      </c>
      <c r="Q111" s="112">
        <v>60.9</v>
      </c>
      <c r="R111" s="112">
        <v>46</v>
      </c>
      <c r="S111" s="112">
        <v>46</v>
      </c>
      <c r="T111" s="112">
        <v>60</v>
      </c>
      <c r="U111" s="112">
        <v>62</v>
      </c>
      <c r="V111" s="112">
        <v>62</v>
      </c>
      <c r="W111" s="112">
        <v>63.6</v>
      </c>
      <c r="X111" s="112">
        <v>74</v>
      </c>
      <c r="Y111" s="112">
        <v>69.7</v>
      </c>
      <c r="Z111" s="112">
        <v>43.8</v>
      </c>
      <c r="AA111" s="112">
        <v>41.6</v>
      </c>
      <c r="AB111" s="112">
        <v>38.9</v>
      </c>
      <c r="AC111" s="112">
        <v>38.9</v>
      </c>
      <c r="AD111" s="112">
        <v>56</v>
      </c>
      <c r="AE111" s="112">
        <v>38.799999999999997</v>
      </c>
      <c r="AF111" s="112">
        <v>39.700000000000003</v>
      </c>
      <c r="AG111" s="113">
        <v>75</v>
      </c>
      <c r="AH111" s="47">
        <f t="shared" si="33"/>
        <v>74</v>
      </c>
      <c r="AI111" s="48">
        <f t="shared" si="34"/>
        <v>19.399999999999999</v>
      </c>
    </row>
    <row r="112" spans="1:37" x14ac:dyDescent="0.25">
      <c r="A112" s="102" t="s">
        <v>120</v>
      </c>
      <c r="B112" s="114">
        <v>45.8</v>
      </c>
      <c r="C112" s="114">
        <v>40.5</v>
      </c>
      <c r="D112" s="114">
        <v>39.4</v>
      </c>
      <c r="E112" s="114">
        <v>33</v>
      </c>
      <c r="F112" s="114">
        <v>36.9</v>
      </c>
      <c r="G112" s="114">
        <v>36.9</v>
      </c>
      <c r="H112" s="114">
        <v>52.6</v>
      </c>
      <c r="I112" s="114">
        <v>60</v>
      </c>
      <c r="J112" s="114">
        <v>60</v>
      </c>
      <c r="K112" s="114">
        <v>50.5</v>
      </c>
      <c r="L112" s="114">
        <v>79</v>
      </c>
      <c r="M112" s="114">
        <v>81.2</v>
      </c>
      <c r="N112" s="114">
        <v>87.9</v>
      </c>
      <c r="O112" s="114">
        <v>78.5</v>
      </c>
      <c r="P112" s="114">
        <v>82</v>
      </c>
      <c r="Q112" s="114">
        <v>87</v>
      </c>
      <c r="R112" s="114">
        <v>65.099999999999994</v>
      </c>
      <c r="S112" s="114">
        <v>65.099999999999994</v>
      </c>
      <c r="T112" s="114">
        <v>88</v>
      </c>
      <c r="U112" s="114">
        <v>89</v>
      </c>
      <c r="V112" s="114">
        <v>89</v>
      </c>
      <c r="W112" s="114">
        <v>92.9</v>
      </c>
      <c r="X112" s="114">
        <v>107</v>
      </c>
      <c r="Y112" s="114">
        <v>66.400000000000006</v>
      </c>
      <c r="Z112" s="114">
        <v>62.4</v>
      </c>
      <c r="AA112" s="114">
        <v>60.4</v>
      </c>
      <c r="AB112" s="114">
        <v>56.8</v>
      </c>
      <c r="AC112" s="114">
        <v>56.8</v>
      </c>
      <c r="AD112" s="114">
        <v>83</v>
      </c>
      <c r="AE112" s="114">
        <v>59.6</v>
      </c>
      <c r="AF112" s="114">
        <v>34.299999999999997</v>
      </c>
      <c r="AG112" s="113">
        <v>240</v>
      </c>
      <c r="AH112" s="47">
        <f t="shared" si="33"/>
        <v>107</v>
      </c>
      <c r="AI112" s="48">
        <f t="shared" si="34"/>
        <v>33</v>
      </c>
    </row>
    <row r="113" spans="1:37" x14ac:dyDescent="0.25">
      <c r="A113" s="102" t="s">
        <v>121</v>
      </c>
      <c r="B113" s="114">
        <v>-186</v>
      </c>
      <c r="C113" s="114">
        <v>-180</v>
      </c>
      <c r="D113" s="114">
        <v>-188</v>
      </c>
      <c r="E113" s="114">
        <v>-171</v>
      </c>
      <c r="F113" s="114">
        <v>-168</v>
      </c>
      <c r="G113" s="114">
        <v>-168</v>
      </c>
      <c r="H113" s="114">
        <v>-184</v>
      </c>
      <c r="I113" s="114">
        <v>-148</v>
      </c>
      <c r="J113" s="114">
        <v>-148</v>
      </c>
      <c r="K113" s="114">
        <v>-119</v>
      </c>
      <c r="L113" s="114">
        <v>-155</v>
      </c>
      <c r="M113" s="114">
        <f>-77-81</f>
        <v>-158</v>
      </c>
      <c r="N113" s="114">
        <f>-78-82</f>
        <v>-160</v>
      </c>
      <c r="O113" s="114">
        <f>-67-73</f>
        <v>-140</v>
      </c>
      <c r="P113" s="114">
        <f>-66-73</f>
        <v>-139</v>
      </c>
      <c r="Q113" s="114">
        <f>-70-75</f>
        <v>-145</v>
      </c>
      <c r="R113" s="114">
        <f>-55-62</f>
        <v>-117</v>
      </c>
      <c r="S113" s="114">
        <f>-55-62</f>
        <v>-117</v>
      </c>
      <c r="T113" s="114">
        <v>-148</v>
      </c>
      <c r="U113" s="114">
        <v>-156</v>
      </c>
      <c r="V113" s="114">
        <v>-156</v>
      </c>
      <c r="W113" s="114">
        <v>-148.9</v>
      </c>
      <c r="X113" s="114">
        <v>-162</v>
      </c>
      <c r="Y113" s="114">
        <v>-70.2</v>
      </c>
      <c r="Z113" s="114">
        <v>-76</v>
      </c>
      <c r="AA113" s="114">
        <v>-93</v>
      </c>
      <c r="AB113" s="114">
        <v>-131.5</v>
      </c>
      <c r="AC113" s="114">
        <v>-165</v>
      </c>
      <c r="AD113" s="114">
        <v>-185</v>
      </c>
      <c r="AE113" s="114">
        <v>-179</v>
      </c>
      <c r="AF113" s="114">
        <v>-191.5</v>
      </c>
      <c r="AG113" s="113">
        <v>240</v>
      </c>
      <c r="AH113" s="47">
        <f t="shared" si="33"/>
        <v>-70.2</v>
      </c>
      <c r="AI113" s="48">
        <f t="shared" si="34"/>
        <v>-191.5</v>
      </c>
    </row>
    <row r="114" spans="1:37" x14ac:dyDescent="0.25">
      <c r="A114" s="102" t="s">
        <v>122</v>
      </c>
      <c r="B114" s="114">
        <v>-12.3</v>
      </c>
      <c r="C114" s="114">
        <v>-10.5</v>
      </c>
      <c r="D114" s="114">
        <v>-12</v>
      </c>
      <c r="E114" s="114">
        <v>-11.9</v>
      </c>
      <c r="F114" s="114">
        <v>-9.5</v>
      </c>
      <c r="G114" s="114">
        <v>-9.5</v>
      </c>
      <c r="H114" s="114">
        <v>-10.5</v>
      </c>
      <c r="I114" s="114">
        <v>-2</v>
      </c>
      <c r="J114" s="114">
        <v>-2</v>
      </c>
      <c r="K114" s="114">
        <v>1.8</v>
      </c>
      <c r="L114" s="114">
        <v>1.3</v>
      </c>
      <c r="M114" s="114">
        <v>0.2</v>
      </c>
      <c r="N114" s="114">
        <v>9.8000000000000007</v>
      </c>
      <c r="O114" s="114">
        <v>5.8</v>
      </c>
      <c r="P114" s="114">
        <v>8.4</v>
      </c>
      <c r="Q114" s="114">
        <v>8</v>
      </c>
      <c r="R114" s="114">
        <v>13.1</v>
      </c>
      <c r="S114" s="114">
        <v>13.1</v>
      </c>
      <c r="T114" s="114">
        <v>12</v>
      </c>
      <c r="U114" s="114">
        <v>17</v>
      </c>
      <c r="V114" s="114">
        <v>12</v>
      </c>
      <c r="W114" s="114">
        <v>10.8</v>
      </c>
      <c r="X114" s="114">
        <v>2.4</v>
      </c>
      <c r="Y114" s="114">
        <v>13.9</v>
      </c>
      <c r="Z114" s="114">
        <v>31.1</v>
      </c>
      <c r="AA114" s="114">
        <v>26.2</v>
      </c>
      <c r="AB114" s="114">
        <v>23.4</v>
      </c>
      <c r="AC114" s="114">
        <v>23.4</v>
      </c>
      <c r="AD114" s="114">
        <v>-2.2999999999999998</v>
      </c>
      <c r="AE114" s="114">
        <v>-7</v>
      </c>
      <c r="AF114" s="114">
        <v>-14.3</v>
      </c>
      <c r="AG114" s="113">
        <v>60</v>
      </c>
      <c r="AH114" s="47">
        <f t="shared" si="33"/>
        <v>31.1</v>
      </c>
      <c r="AI114" s="48">
        <f t="shared" si="34"/>
        <v>-14.3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39.9</v>
      </c>
      <c r="L115" s="116">
        <v>39.299999999999997</v>
      </c>
      <c r="M115" s="116">
        <v>39.6</v>
      </c>
      <c r="N115" s="116">
        <v>37.9</v>
      </c>
      <c r="O115" s="116">
        <v>24.8</v>
      </c>
      <c r="P115" s="116">
        <v>37.700000000000003</v>
      </c>
      <c r="Q115" s="116">
        <v>38.5</v>
      </c>
      <c r="R115" s="116">
        <v>26.1</v>
      </c>
      <c r="S115" s="116">
        <v>26.1</v>
      </c>
      <c r="T115" s="116">
        <v>38</v>
      </c>
      <c r="U115" s="116">
        <v>38</v>
      </c>
      <c r="V115" s="116">
        <v>37</v>
      </c>
      <c r="W115" s="116">
        <v>37.200000000000003</v>
      </c>
      <c r="X115" s="116">
        <v>36</v>
      </c>
      <c r="Y115" s="116">
        <v>34.4</v>
      </c>
      <c r="Z115" s="116">
        <v>35.299999999999997</v>
      </c>
      <c r="AA115" s="116">
        <v>34.700000000000003</v>
      </c>
      <c r="AB115" s="116">
        <v>35.299999999999997</v>
      </c>
      <c r="AC115" s="116">
        <v>35.299999999999997</v>
      </c>
      <c r="AD115" s="116">
        <v>27.2</v>
      </c>
      <c r="AE115" s="116">
        <v>25.5</v>
      </c>
      <c r="AF115" s="116">
        <v>24.1</v>
      </c>
      <c r="AG115" s="117">
        <v>120</v>
      </c>
      <c r="AH115" s="47">
        <f t="shared" si="33"/>
        <v>39.9</v>
      </c>
      <c r="AI115" s="48">
        <f t="shared" si="34"/>
        <v>0</v>
      </c>
    </row>
    <row r="116" spans="1:37" x14ac:dyDescent="0.25">
      <c r="A116" s="115" t="s">
        <v>124</v>
      </c>
      <c r="B116" s="116">
        <v>49.8</v>
      </c>
      <c r="C116" s="116">
        <v>42.2</v>
      </c>
      <c r="D116" s="116">
        <v>33</v>
      </c>
      <c r="E116" s="116">
        <v>49.7</v>
      </c>
      <c r="F116" s="116">
        <v>60.1</v>
      </c>
      <c r="G116" s="116">
        <v>60.1</v>
      </c>
      <c r="H116" s="116">
        <v>27.3</v>
      </c>
      <c r="I116" s="116">
        <v>46.6</v>
      </c>
      <c r="J116" s="116">
        <v>46.6</v>
      </c>
      <c r="K116" s="116">
        <v>43.9</v>
      </c>
      <c r="L116" s="116">
        <v>36.200000000000003</v>
      </c>
      <c r="M116" s="116">
        <v>38.6</v>
      </c>
      <c r="N116" s="116">
        <v>44</v>
      </c>
      <c r="O116" s="116">
        <v>37.9</v>
      </c>
      <c r="P116" s="116">
        <v>59.9</v>
      </c>
      <c r="Q116" s="116">
        <v>55</v>
      </c>
      <c r="R116" s="116">
        <v>65</v>
      </c>
      <c r="S116" s="116">
        <v>65</v>
      </c>
      <c r="T116" s="116">
        <v>48</v>
      </c>
      <c r="U116" s="116">
        <v>38</v>
      </c>
      <c r="V116" s="116">
        <v>38</v>
      </c>
      <c r="W116" s="116">
        <v>28.1</v>
      </c>
      <c r="X116" s="116">
        <v>28</v>
      </c>
      <c r="Y116" s="116">
        <v>60.3</v>
      </c>
      <c r="Z116" s="116">
        <v>40.799999999999997</v>
      </c>
      <c r="AA116" s="116">
        <v>44.9</v>
      </c>
      <c r="AB116" s="116">
        <v>35.700000000000003</v>
      </c>
      <c r="AC116" s="116">
        <v>35.700000000000003</v>
      </c>
      <c r="AD116" s="116">
        <v>35.5</v>
      </c>
      <c r="AE116" s="116">
        <v>38</v>
      </c>
      <c r="AF116" s="116">
        <v>36.6</v>
      </c>
      <c r="AG116" s="117"/>
      <c r="AH116" s="47">
        <f t="shared" si="33"/>
        <v>65</v>
      </c>
      <c r="AI116" s="48">
        <f t="shared" si="34"/>
        <v>27.3</v>
      </c>
    </row>
    <row r="117" spans="1:37" x14ac:dyDescent="0.25">
      <c r="A117" s="115" t="s">
        <v>125</v>
      </c>
      <c r="B117" s="116">
        <v>23.3</v>
      </c>
      <c r="C117" s="116">
        <v>23</v>
      </c>
      <c r="D117" s="116">
        <v>22.9</v>
      </c>
      <c r="E117" s="116">
        <v>28.9</v>
      </c>
      <c r="F117" s="116">
        <v>29.1</v>
      </c>
      <c r="G117" s="116">
        <v>29.1</v>
      </c>
      <c r="H117" s="116">
        <v>16.5</v>
      </c>
      <c r="I117" s="116">
        <v>7.2</v>
      </c>
      <c r="J117" s="116">
        <v>7.2</v>
      </c>
      <c r="K117" s="116">
        <v>11.9</v>
      </c>
      <c r="L117" s="116">
        <v>19.7</v>
      </c>
      <c r="M117" s="116">
        <v>22.1</v>
      </c>
      <c r="N117" s="116">
        <v>0</v>
      </c>
      <c r="O117" s="116">
        <v>1.3</v>
      </c>
      <c r="P117" s="116">
        <v>0.9</v>
      </c>
      <c r="Q117" s="116">
        <v>1.7</v>
      </c>
      <c r="R117" s="116">
        <v>9.1999999999999993</v>
      </c>
      <c r="S117" s="116">
        <v>9.1999999999999993</v>
      </c>
      <c r="T117" s="116">
        <v>14</v>
      </c>
      <c r="U117" s="116">
        <v>13</v>
      </c>
      <c r="V117" s="116">
        <v>10</v>
      </c>
      <c r="W117" s="116">
        <v>8.1999999999999993</v>
      </c>
      <c r="X117" s="116">
        <v>5.4</v>
      </c>
      <c r="Y117" s="116">
        <v>-5.4</v>
      </c>
      <c r="Z117" s="116">
        <v>-2.7</v>
      </c>
      <c r="AA117" s="116">
        <v>-4.9000000000000004</v>
      </c>
      <c r="AB117" s="116">
        <v>1.7</v>
      </c>
      <c r="AC117" s="116">
        <v>1.7</v>
      </c>
      <c r="AD117" s="116">
        <v>-22.1</v>
      </c>
      <c r="AE117" s="116">
        <v>33.200000000000003</v>
      </c>
      <c r="AF117" s="116">
        <v>24.3</v>
      </c>
      <c r="AG117" s="118"/>
      <c r="AH117" s="47">
        <f t="shared" si="33"/>
        <v>33.200000000000003</v>
      </c>
      <c r="AI117" s="48">
        <f t="shared" si="34"/>
        <v>-22.1</v>
      </c>
    </row>
    <row r="118" spans="1:37" x14ac:dyDescent="0.25">
      <c r="A118" s="119" t="s">
        <v>126</v>
      </c>
      <c r="B118" s="105">
        <v>46.7</v>
      </c>
      <c r="C118" s="105">
        <v>49</v>
      </c>
      <c r="D118" s="105">
        <v>51.3</v>
      </c>
      <c r="E118" s="105">
        <v>52.4</v>
      </c>
      <c r="F118" s="105">
        <v>58</v>
      </c>
      <c r="G118" s="105">
        <v>58</v>
      </c>
      <c r="H118" s="105">
        <v>63.1</v>
      </c>
      <c r="I118" s="105">
        <v>64.8</v>
      </c>
      <c r="J118" s="105">
        <v>64.8</v>
      </c>
      <c r="K118" s="105">
        <v>61.2</v>
      </c>
      <c r="L118" s="105">
        <v>55.3</v>
      </c>
      <c r="M118" s="105">
        <v>54.9</v>
      </c>
      <c r="N118" s="105">
        <v>56.4</v>
      </c>
      <c r="O118" s="105">
        <v>51.5</v>
      </c>
      <c r="P118" s="105">
        <v>53.5</v>
      </c>
      <c r="Q118" s="105">
        <v>30.1</v>
      </c>
      <c r="R118" s="105">
        <v>49</v>
      </c>
      <c r="S118" s="105">
        <v>49</v>
      </c>
      <c r="T118" s="105">
        <v>45</v>
      </c>
      <c r="U118" s="105">
        <v>45</v>
      </c>
      <c r="V118" s="105">
        <v>59</v>
      </c>
      <c r="W118" s="105">
        <v>42.3</v>
      </c>
      <c r="X118" s="105">
        <v>43</v>
      </c>
      <c r="Y118" s="105">
        <v>34.299999999999997</v>
      </c>
      <c r="Z118" s="105">
        <v>32.700000000000003</v>
      </c>
      <c r="AA118" s="105">
        <v>14.8</v>
      </c>
      <c r="AB118" s="105">
        <v>32.4</v>
      </c>
      <c r="AC118" s="105">
        <v>32.4</v>
      </c>
      <c r="AD118" s="105">
        <v>36</v>
      </c>
      <c r="AE118" s="105">
        <v>40.299999999999997</v>
      </c>
      <c r="AF118" s="105">
        <v>44.2</v>
      </c>
      <c r="AG118" s="118"/>
      <c r="AH118" s="47">
        <f t="shared" si="33"/>
        <v>64.8</v>
      </c>
      <c r="AI118" s="48">
        <f t="shared" si="34"/>
        <v>14.8</v>
      </c>
    </row>
    <row r="119" spans="1:37" x14ac:dyDescent="0.25">
      <c r="A119" s="120" t="s">
        <v>127</v>
      </c>
      <c r="B119" s="105">
        <v>95</v>
      </c>
      <c r="C119" s="105">
        <v>92</v>
      </c>
      <c r="D119" s="105">
        <v>92</v>
      </c>
      <c r="E119" s="105">
        <v>89.3</v>
      </c>
      <c r="F119" s="105">
        <v>91</v>
      </c>
      <c r="G119" s="105">
        <v>91</v>
      </c>
      <c r="H119" s="105">
        <v>98.5</v>
      </c>
      <c r="I119" s="105">
        <v>76.400000000000006</v>
      </c>
      <c r="J119" s="105">
        <v>76.400000000000006</v>
      </c>
      <c r="K119" s="105">
        <v>68.900000000000006</v>
      </c>
      <c r="L119" s="105">
        <v>74.8</v>
      </c>
      <c r="M119" s="105">
        <v>75.5</v>
      </c>
      <c r="N119" s="105">
        <v>88.9</v>
      </c>
      <c r="O119" s="105">
        <v>88</v>
      </c>
      <c r="P119" s="105">
        <v>72</v>
      </c>
      <c r="Q119" s="105">
        <v>75</v>
      </c>
      <c r="R119" s="105">
        <v>57.7</v>
      </c>
      <c r="S119" s="105">
        <v>57.7</v>
      </c>
      <c r="T119" s="105">
        <v>70</v>
      </c>
      <c r="U119" s="105">
        <v>77</v>
      </c>
      <c r="V119" s="105">
        <v>77</v>
      </c>
      <c r="W119" s="105">
        <v>74.900000000000006</v>
      </c>
      <c r="X119" s="105">
        <v>78.599999999999994</v>
      </c>
      <c r="Y119" s="105">
        <v>58.7</v>
      </c>
      <c r="Z119" s="105">
        <v>78</v>
      </c>
      <c r="AA119" s="105">
        <v>85.4</v>
      </c>
      <c r="AB119" s="105">
        <v>100</v>
      </c>
      <c r="AC119" s="105">
        <v>100</v>
      </c>
      <c r="AD119" s="105">
        <v>95</v>
      </c>
      <c r="AE119" s="105">
        <v>90.9</v>
      </c>
      <c r="AF119" s="105">
        <v>96.1</v>
      </c>
      <c r="AG119" s="118"/>
      <c r="AH119" s="47">
        <f t="shared" si="33"/>
        <v>100</v>
      </c>
      <c r="AI119" s="48">
        <f t="shared" si="34"/>
        <v>57.7</v>
      </c>
    </row>
    <row r="120" spans="1:37" ht="15.75" thickBot="1" x14ac:dyDescent="0.3">
      <c r="A120" s="119" t="s">
        <v>128</v>
      </c>
      <c r="B120" s="105">
        <v>28</v>
      </c>
      <c r="C120" s="105">
        <v>30</v>
      </c>
      <c r="D120" s="105">
        <v>34.700000000000003</v>
      </c>
      <c r="E120" s="105">
        <v>24.9</v>
      </c>
      <c r="F120" s="105">
        <v>16.8</v>
      </c>
      <c r="G120" s="105">
        <v>16.8</v>
      </c>
      <c r="H120" s="105">
        <v>-1</v>
      </c>
      <c r="I120" s="105">
        <v>-4.7</v>
      </c>
      <c r="J120" s="105">
        <v>-4.7</v>
      </c>
      <c r="K120" s="105">
        <v>0.7</v>
      </c>
      <c r="L120" s="105">
        <v>2.4</v>
      </c>
      <c r="M120" s="105">
        <v>7.5</v>
      </c>
      <c r="N120" s="105">
        <v>4.8</v>
      </c>
      <c r="O120" s="105">
        <v>7.1</v>
      </c>
      <c r="P120" s="105">
        <v>4.7</v>
      </c>
      <c r="Q120" s="105">
        <v>14.1</v>
      </c>
      <c r="R120" s="105">
        <v>9.6999999999999993</v>
      </c>
      <c r="S120" s="105">
        <v>9.6999999999999993</v>
      </c>
      <c r="T120" s="105">
        <v>21</v>
      </c>
      <c r="U120" s="105">
        <v>21</v>
      </c>
      <c r="V120" s="105">
        <v>0</v>
      </c>
      <c r="W120" s="105">
        <v>9.6999999999999993</v>
      </c>
      <c r="X120" s="105">
        <v>10</v>
      </c>
      <c r="Y120" s="105">
        <v>36.700000000000003</v>
      </c>
      <c r="Z120" s="105">
        <v>34.1</v>
      </c>
      <c r="AA120" s="105">
        <v>44</v>
      </c>
      <c r="AB120" s="105">
        <v>39.299999999999997</v>
      </c>
      <c r="AC120" s="105">
        <v>39.299999999999997</v>
      </c>
      <c r="AD120" s="105">
        <v>49.2</v>
      </c>
      <c r="AE120" s="105">
        <v>41.5</v>
      </c>
      <c r="AF120" s="105">
        <v>29.7</v>
      </c>
      <c r="AG120" s="118"/>
      <c r="AH120" s="47">
        <f t="shared" si="33"/>
        <v>49.2</v>
      </c>
      <c r="AI120" s="48">
        <f t="shared" si="34"/>
        <v>-4.7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73">SUM(B122:B226)</f>
        <v>0</v>
      </c>
      <c r="C227" s="136">
        <f t="shared" si="73"/>
        <v>0</v>
      </c>
      <c r="D227" s="136">
        <f t="shared" si="73"/>
        <v>0</v>
      </c>
      <c r="E227" s="136">
        <f t="shared" si="73"/>
        <v>0</v>
      </c>
      <c r="F227" s="136">
        <f t="shared" si="73"/>
        <v>0</v>
      </c>
      <c r="G227" s="136">
        <f t="shared" si="73"/>
        <v>0</v>
      </c>
      <c r="H227" s="136">
        <f t="shared" si="73"/>
        <v>0</v>
      </c>
      <c r="I227" s="136">
        <f t="shared" si="73"/>
        <v>0</v>
      </c>
      <c r="J227" s="136">
        <f t="shared" si="73"/>
        <v>0</v>
      </c>
      <c r="K227" s="136">
        <f t="shared" si="73"/>
        <v>0</v>
      </c>
      <c r="L227" s="136">
        <f t="shared" si="73"/>
        <v>0</v>
      </c>
      <c r="M227" s="136">
        <f t="shared" si="73"/>
        <v>0</v>
      </c>
      <c r="N227" s="136">
        <f t="shared" si="73"/>
        <v>0</v>
      </c>
      <c r="O227" s="136">
        <f t="shared" si="73"/>
        <v>0</v>
      </c>
      <c r="P227" s="136">
        <f t="shared" si="73"/>
        <v>0</v>
      </c>
      <c r="Q227" s="136">
        <f t="shared" si="73"/>
        <v>0</v>
      </c>
      <c r="R227" s="136">
        <f t="shared" si="73"/>
        <v>0</v>
      </c>
      <c r="S227" s="136">
        <f t="shared" si="73"/>
        <v>0</v>
      </c>
      <c r="T227" s="136">
        <f t="shared" si="73"/>
        <v>0</v>
      </c>
      <c r="U227" s="136">
        <f t="shared" si="73"/>
        <v>0</v>
      </c>
      <c r="V227" s="136">
        <f t="shared" si="73"/>
        <v>0</v>
      </c>
      <c r="W227" s="136">
        <f t="shared" si="73"/>
        <v>0</v>
      </c>
      <c r="X227" s="136">
        <f t="shared" si="73"/>
        <v>0</v>
      </c>
      <c r="Y227" s="136">
        <f t="shared" si="73"/>
        <v>0</v>
      </c>
      <c r="Z227" s="136">
        <f t="shared" si="73"/>
        <v>0</v>
      </c>
      <c r="AA227" s="136">
        <f t="shared" si="73"/>
        <v>0</v>
      </c>
      <c r="AB227" s="136">
        <f t="shared" si="73"/>
        <v>0</v>
      </c>
      <c r="AC227" s="136">
        <f t="shared" si="73"/>
        <v>0</v>
      </c>
      <c r="AD227" s="136">
        <f t="shared" si="73"/>
        <v>0</v>
      </c>
      <c r="AE227" s="136">
        <f t="shared" si="73"/>
        <v>0</v>
      </c>
      <c r="AF227" s="137">
        <f t="shared" si="73"/>
        <v>0</v>
      </c>
      <c r="AG227" s="138">
        <f t="shared" si="73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74">AF229</f>
        <v>0</v>
      </c>
      <c r="C229" s="140">
        <v>0.3</v>
      </c>
      <c r="D229" s="140">
        <f t="shared" ref="D229:P234" si="75">C229</f>
        <v>0.3</v>
      </c>
      <c r="E229" s="140">
        <f t="shared" si="75"/>
        <v>0.3</v>
      </c>
      <c r="F229" s="140">
        <f t="shared" si="75"/>
        <v>0.3</v>
      </c>
      <c r="G229" s="140">
        <f t="shared" si="75"/>
        <v>0.3</v>
      </c>
      <c r="H229" s="140">
        <f t="shared" si="75"/>
        <v>0.3</v>
      </c>
      <c r="I229" s="140">
        <f t="shared" si="75"/>
        <v>0.3</v>
      </c>
      <c r="J229" s="140">
        <f t="shared" si="75"/>
        <v>0.3</v>
      </c>
      <c r="K229" s="140">
        <f t="shared" si="75"/>
        <v>0.3</v>
      </c>
      <c r="L229" s="140">
        <f t="shared" si="75"/>
        <v>0.3</v>
      </c>
      <c r="M229" s="140">
        <f t="shared" si="75"/>
        <v>0.3</v>
      </c>
      <c r="N229" s="140">
        <f t="shared" si="75"/>
        <v>0.3</v>
      </c>
      <c r="O229" s="140">
        <f t="shared" si="75"/>
        <v>0.3</v>
      </c>
      <c r="P229" s="140">
        <f t="shared" si="75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74"/>
        <v>0</v>
      </c>
      <c r="C230" s="128">
        <v>0.4</v>
      </c>
      <c r="D230" s="128">
        <f t="shared" si="75"/>
        <v>0.4</v>
      </c>
      <c r="E230" s="128">
        <f t="shared" si="75"/>
        <v>0.4</v>
      </c>
      <c r="F230" s="128">
        <f t="shared" si="75"/>
        <v>0.4</v>
      </c>
      <c r="G230" s="128">
        <f t="shared" si="75"/>
        <v>0.4</v>
      </c>
      <c r="H230" s="128">
        <f t="shared" si="75"/>
        <v>0.4</v>
      </c>
      <c r="I230" s="128">
        <f t="shared" si="75"/>
        <v>0.4</v>
      </c>
      <c r="J230" s="128">
        <f t="shared" si="75"/>
        <v>0.4</v>
      </c>
      <c r="K230" s="128">
        <f t="shared" si="75"/>
        <v>0.4</v>
      </c>
      <c r="L230" s="128">
        <f t="shared" si="75"/>
        <v>0.4</v>
      </c>
      <c r="M230" s="128">
        <f t="shared" si="75"/>
        <v>0.4</v>
      </c>
      <c r="N230" s="128">
        <f t="shared" si="75"/>
        <v>0.4</v>
      </c>
      <c r="O230" s="128">
        <f t="shared" si="75"/>
        <v>0.4</v>
      </c>
      <c r="P230" s="128">
        <f t="shared" si="75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74"/>
        <v>0</v>
      </c>
      <c r="C231" s="128">
        <v>1.5</v>
      </c>
      <c r="D231" s="128">
        <f t="shared" si="75"/>
        <v>1.5</v>
      </c>
      <c r="E231" s="128">
        <f t="shared" si="75"/>
        <v>1.5</v>
      </c>
      <c r="F231" s="128">
        <f t="shared" si="75"/>
        <v>1.5</v>
      </c>
      <c r="G231" s="128">
        <f t="shared" si="75"/>
        <v>1.5</v>
      </c>
      <c r="H231" s="128">
        <f t="shared" si="75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75"/>
        <v>123.21900000000009</v>
      </c>
      <c r="K231" s="128">
        <f t="shared" ca="1" si="75"/>
        <v>123.21900000000009</v>
      </c>
      <c r="L231" s="128">
        <f t="shared" ca="1" si="75"/>
        <v>123.21900000000009</v>
      </c>
      <c r="M231" s="128">
        <f t="shared" ca="1" si="75"/>
        <v>119.19900000000008</v>
      </c>
      <c r="N231" s="128">
        <f t="shared" ca="1" si="75"/>
        <v>119.19900000000008</v>
      </c>
      <c r="O231" s="128">
        <f t="shared" ca="1" si="75"/>
        <v>119.19900000000008</v>
      </c>
      <c r="P231" s="128">
        <f t="shared" ca="1" si="75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74"/>
        <v>0</v>
      </c>
      <c r="C232" s="128">
        <v>0.3</v>
      </c>
      <c r="D232" s="128">
        <f t="shared" si="75"/>
        <v>0.3</v>
      </c>
      <c r="E232" s="128">
        <f t="shared" si="75"/>
        <v>0.3</v>
      </c>
      <c r="F232" s="128">
        <f t="shared" si="75"/>
        <v>0.3</v>
      </c>
      <c r="G232" s="128">
        <f t="shared" si="75"/>
        <v>0.3</v>
      </c>
      <c r="H232" s="128">
        <f t="shared" si="75"/>
        <v>0.3</v>
      </c>
      <c r="I232" s="128">
        <f t="shared" si="75"/>
        <v>0.3</v>
      </c>
      <c r="J232" s="128">
        <f t="shared" si="75"/>
        <v>0.3</v>
      </c>
      <c r="K232" s="128">
        <f t="shared" si="75"/>
        <v>0.3</v>
      </c>
      <c r="L232" s="128">
        <f t="shared" si="75"/>
        <v>0.3</v>
      </c>
      <c r="M232" s="128">
        <f t="shared" si="75"/>
        <v>0.3</v>
      </c>
      <c r="N232" s="128">
        <f t="shared" si="75"/>
        <v>0.3</v>
      </c>
      <c r="O232" s="128">
        <f t="shared" si="75"/>
        <v>0.3</v>
      </c>
      <c r="P232" s="128">
        <f t="shared" si="75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74"/>
        <v>0</v>
      </c>
      <c r="C233" s="128">
        <v>0.4</v>
      </c>
      <c r="D233" s="128">
        <f t="shared" si="75"/>
        <v>0.4</v>
      </c>
      <c r="E233" s="128">
        <f t="shared" si="75"/>
        <v>0.4</v>
      </c>
      <c r="F233" s="128">
        <f t="shared" si="75"/>
        <v>0.4</v>
      </c>
      <c r="G233" s="128">
        <f t="shared" si="75"/>
        <v>0.4</v>
      </c>
      <c r="H233" s="128">
        <f t="shared" si="75"/>
        <v>0.4</v>
      </c>
      <c r="I233" s="128">
        <f t="shared" si="75"/>
        <v>0.4</v>
      </c>
      <c r="J233" s="128">
        <f t="shared" si="75"/>
        <v>0.4</v>
      </c>
      <c r="K233" s="128">
        <f t="shared" si="75"/>
        <v>0.4</v>
      </c>
      <c r="L233" s="128">
        <f t="shared" si="75"/>
        <v>0.4</v>
      </c>
      <c r="M233" s="128">
        <f t="shared" si="75"/>
        <v>0.4</v>
      </c>
      <c r="N233" s="128">
        <f t="shared" si="75"/>
        <v>0.4</v>
      </c>
      <c r="O233" s="128">
        <f t="shared" si="75"/>
        <v>0.4</v>
      </c>
      <c r="P233" s="128">
        <f t="shared" si="75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74"/>
        <v>0</v>
      </c>
      <c r="C234" s="132">
        <v>0.64</v>
      </c>
      <c r="D234" s="132">
        <f t="shared" si="75"/>
        <v>0.64</v>
      </c>
      <c r="E234" s="132">
        <f t="shared" si="75"/>
        <v>0.64</v>
      </c>
      <c r="F234" s="132">
        <f t="shared" si="75"/>
        <v>0.64</v>
      </c>
      <c r="G234" s="132">
        <f t="shared" si="75"/>
        <v>0.64</v>
      </c>
      <c r="H234" s="132">
        <f t="shared" si="75"/>
        <v>0.64</v>
      </c>
      <c r="I234" s="132">
        <f t="shared" si="75"/>
        <v>0.64</v>
      </c>
      <c r="J234" s="132">
        <f t="shared" si="75"/>
        <v>0.64</v>
      </c>
      <c r="K234" s="132">
        <f t="shared" si="75"/>
        <v>0.64</v>
      </c>
      <c r="L234" s="132">
        <f t="shared" si="75"/>
        <v>0.64</v>
      </c>
      <c r="M234" s="132">
        <f t="shared" si="75"/>
        <v>0.64</v>
      </c>
      <c r="N234" s="132">
        <f t="shared" si="75"/>
        <v>0.64</v>
      </c>
      <c r="O234" s="132">
        <f t="shared" si="75"/>
        <v>0.64</v>
      </c>
      <c r="P234" s="132">
        <f t="shared" si="75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76">SUM(B229:B234)</f>
        <v>0</v>
      </c>
      <c r="C235" s="136">
        <f t="shared" si="76"/>
        <v>3.54</v>
      </c>
      <c r="D235" s="136">
        <f t="shared" si="76"/>
        <v>3.54</v>
      </c>
      <c r="E235" s="136">
        <f t="shared" si="76"/>
        <v>3.54</v>
      </c>
      <c r="F235" s="136">
        <f t="shared" si="76"/>
        <v>3.54</v>
      </c>
      <c r="G235" s="136">
        <f t="shared" si="76"/>
        <v>3.54</v>
      </c>
      <c r="H235" s="136">
        <f t="shared" si="76"/>
        <v>3.54</v>
      </c>
      <c r="I235" s="136">
        <f t="shared" ca="1" si="76"/>
        <v>121.23900000000009</v>
      </c>
      <c r="J235" s="136">
        <f t="shared" ca="1" si="76"/>
        <v>121.23900000000009</v>
      </c>
      <c r="K235" s="136">
        <f t="shared" ca="1" si="76"/>
        <v>121.23900000000009</v>
      </c>
      <c r="L235" s="136">
        <f t="shared" ca="1" si="76"/>
        <v>125.2590000000001</v>
      </c>
      <c r="M235" s="136">
        <f t="shared" ca="1" si="76"/>
        <v>121.23900000000009</v>
      </c>
      <c r="N235" s="136">
        <f t="shared" ca="1" si="76"/>
        <v>121.23900000000009</v>
      </c>
      <c r="O235" s="136">
        <f t="shared" ca="1" si="76"/>
        <v>121.23900000000009</v>
      </c>
      <c r="P235" s="136">
        <f t="shared" ca="1" si="76"/>
        <v>121.23900000000009</v>
      </c>
      <c r="Q235" s="136">
        <f t="shared" si="76"/>
        <v>0</v>
      </c>
      <c r="R235" s="136">
        <f t="shared" si="76"/>
        <v>0</v>
      </c>
      <c r="S235" s="136">
        <f t="shared" si="76"/>
        <v>0</v>
      </c>
      <c r="T235" s="136">
        <f t="shared" si="76"/>
        <v>0</v>
      </c>
      <c r="U235" s="136">
        <f t="shared" si="76"/>
        <v>0</v>
      </c>
      <c r="V235" s="136">
        <f t="shared" si="76"/>
        <v>0</v>
      </c>
      <c r="W235" s="136">
        <f t="shared" si="76"/>
        <v>0</v>
      </c>
      <c r="X235" s="136">
        <f t="shared" si="76"/>
        <v>0</v>
      </c>
      <c r="Y235" s="136">
        <f t="shared" si="76"/>
        <v>0</v>
      </c>
      <c r="Z235" s="136">
        <f t="shared" si="76"/>
        <v>0</v>
      </c>
      <c r="AA235" s="136">
        <f t="shared" si="76"/>
        <v>0</v>
      </c>
      <c r="AB235" s="136">
        <f t="shared" si="76"/>
        <v>0</v>
      </c>
      <c r="AC235" s="136">
        <f t="shared" si="76"/>
        <v>0</v>
      </c>
      <c r="AD235" s="136">
        <f t="shared" si="76"/>
        <v>0</v>
      </c>
      <c r="AE235" s="136">
        <f t="shared" si="76"/>
        <v>0</v>
      </c>
      <c r="AF235" s="136">
        <f t="shared" si="76"/>
        <v>0</v>
      </c>
      <c r="AG235" s="145">
        <f t="shared" si="76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2194.54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2080/05/29)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77">B91</f>
        <v>2034.94</v>
      </c>
      <c r="U249" s="170">
        <f t="shared" si="77"/>
        <v>2034.94</v>
      </c>
      <c r="V249" s="170">
        <f t="shared" si="77"/>
        <v>2074.1400000000003</v>
      </c>
      <c r="W249" s="170">
        <f t="shared" si="77"/>
        <v>2064.04</v>
      </c>
      <c r="X249" s="170">
        <f t="shared" si="77"/>
        <v>1981.7399999999998</v>
      </c>
      <c r="Y249" s="170">
        <f t="shared" si="77"/>
        <v>2072.7399999999998</v>
      </c>
      <c r="Z249" s="170">
        <f t="shared" si="77"/>
        <v>2072.7399999999998</v>
      </c>
      <c r="AA249" s="170">
        <f t="shared" si="77"/>
        <v>2089.04</v>
      </c>
      <c r="AB249" s="170">
        <f t="shared" si="77"/>
        <v>2110.04</v>
      </c>
      <c r="AC249" s="170">
        <f t="shared" si="77"/>
        <v>2158.2399999999998</v>
      </c>
      <c r="AD249" s="170">
        <f t="shared" si="77"/>
        <v>2189.54</v>
      </c>
      <c r="AE249" s="170">
        <f t="shared" si="77"/>
        <v>2194.54</v>
      </c>
      <c r="AF249" s="170">
        <f t="shared" si="77"/>
        <v>2174.7400000000002</v>
      </c>
      <c r="AG249" s="170">
        <f t="shared" si="77"/>
        <v>2136.2399999999998</v>
      </c>
      <c r="AH249" s="170">
        <f t="shared" si="77"/>
        <v>2132.2399999999998</v>
      </c>
      <c r="AI249" s="170">
        <f t="shared" si="77"/>
        <v>2141.54</v>
      </c>
      <c r="AJ249" s="170">
        <f t="shared" si="77"/>
        <v>2109.2399999999998</v>
      </c>
      <c r="AK249" s="170">
        <f t="shared" si="77"/>
        <v>2109.2399999999998</v>
      </c>
      <c r="AL249" s="170">
        <f t="shared" si="77"/>
        <v>2146.64</v>
      </c>
      <c r="AM249" s="170">
        <f t="shared" si="77"/>
        <v>2142.64</v>
      </c>
      <c r="AN249" s="170">
        <f t="shared" si="77"/>
        <v>2140.34</v>
      </c>
      <c r="AO249" s="170">
        <f t="shared" si="77"/>
        <v>2133.44</v>
      </c>
      <c r="AP249" s="170">
        <f t="shared" si="77"/>
        <v>2109.94</v>
      </c>
      <c r="AQ249" s="170">
        <f t="shared" si="77"/>
        <v>2109.94</v>
      </c>
      <c r="AR249" s="170">
        <f t="shared" si="77"/>
        <v>2245.1400000000003</v>
      </c>
      <c r="AS249" s="170">
        <f t="shared" si="77"/>
        <v>2226.54</v>
      </c>
      <c r="AT249" s="170">
        <f t="shared" si="77"/>
        <v>2235.7400000000002</v>
      </c>
      <c r="AU249" s="170">
        <f t="shared" si="77"/>
        <v>2179.54</v>
      </c>
      <c r="AV249" s="170">
        <f t="shared" si="77"/>
        <v>2174.94</v>
      </c>
      <c r="AW249" s="170">
        <f t="shared" si="77"/>
        <v>2132.94</v>
      </c>
      <c r="AX249" s="170">
        <f t="shared" si="77"/>
        <v>2131.7400000000002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78">C234</f>
        <v>0.64</v>
      </c>
      <c r="C270" s="173">
        <f t="shared" si="78"/>
        <v>0.64</v>
      </c>
      <c r="D270" s="173">
        <f t="shared" si="78"/>
        <v>0.64</v>
      </c>
      <c r="E270" s="173">
        <f t="shared" si="78"/>
        <v>0.64</v>
      </c>
      <c r="F270" s="173">
        <f t="shared" si="78"/>
        <v>0.64</v>
      </c>
      <c r="G270" s="173">
        <f t="shared" si="78"/>
        <v>0.64</v>
      </c>
      <c r="H270" s="173">
        <f t="shared" si="78"/>
        <v>0.64</v>
      </c>
      <c r="I270" s="173">
        <f t="shared" si="78"/>
        <v>0.64</v>
      </c>
      <c r="J270" s="173">
        <f t="shared" si="78"/>
        <v>0.64</v>
      </c>
      <c r="K270" s="173">
        <f t="shared" si="78"/>
        <v>0.64</v>
      </c>
      <c r="L270" s="173">
        <f t="shared" si="78"/>
        <v>0.64</v>
      </c>
      <c r="M270" s="173">
        <f t="shared" si="78"/>
        <v>0.64</v>
      </c>
      <c r="N270" s="173">
        <f t="shared" si="78"/>
        <v>0.64</v>
      </c>
      <c r="O270" s="173">
        <f t="shared" si="78"/>
        <v>0.64</v>
      </c>
      <c r="P270" s="173">
        <f t="shared" si="78"/>
        <v>0</v>
      </c>
      <c r="Q270" s="173">
        <f t="shared" si="78"/>
        <v>0</v>
      </c>
      <c r="R270" s="173">
        <f t="shared" si="78"/>
        <v>0</v>
      </c>
      <c r="S270" s="173">
        <f t="shared" si="78"/>
        <v>0</v>
      </c>
      <c r="T270" s="173">
        <f t="shared" si="78"/>
        <v>0</v>
      </c>
      <c r="U270" s="173">
        <f t="shared" si="78"/>
        <v>0</v>
      </c>
      <c r="V270" s="173">
        <f t="shared" si="78"/>
        <v>0</v>
      </c>
      <c r="W270" s="173">
        <f t="shared" si="78"/>
        <v>0</v>
      </c>
      <c r="X270" s="173">
        <f t="shared" si="78"/>
        <v>0</v>
      </c>
      <c r="Y270" s="173">
        <f t="shared" si="78"/>
        <v>0</v>
      </c>
      <c r="Z270" s="173">
        <f t="shared" si="78"/>
        <v>0</v>
      </c>
      <c r="AA270" s="173">
        <f t="shared" si="78"/>
        <v>0</v>
      </c>
      <c r="AB270" s="173">
        <f t="shared" si="78"/>
        <v>0</v>
      </c>
      <c r="AC270" s="173">
        <f t="shared" si="78"/>
        <v>0</v>
      </c>
      <c r="AD270" s="173">
        <f t="shared" si="78"/>
        <v>0</v>
      </c>
      <c r="AE270" s="173">
        <f t="shared" si="78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79">IF(B238&lt;100,"",B238-520)</f>
        <v/>
      </c>
      <c r="C271" s="174" t="str">
        <f t="shared" si="79"/>
        <v/>
      </c>
      <c r="D271" s="174" t="str">
        <f t="shared" si="79"/>
        <v/>
      </c>
      <c r="E271" s="174" t="str">
        <f t="shared" si="79"/>
        <v/>
      </c>
      <c r="F271" s="174" t="str">
        <f t="shared" si="79"/>
        <v/>
      </c>
      <c r="G271" s="174" t="str">
        <f t="shared" si="79"/>
        <v/>
      </c>
      <c r="H271" s="174" t="str">
        <f t="shared" si="79"/>
        <v/>
      </c>
      <c r="I271" s="174" t="str">
        <f t="shared" si="79"/>
        <v/>
      </c>
      <c r="J271" s="174" t="str">
        <f t="shared" si="79"/>
        <v/>
      </c>
      <c r="K271" s="174" t="str">
        <f t="shared" si="79"/>
        <v/>
      </c>
      <c r="L271" s="174" t="str">
        <f t="shared" si="79"/>
        <v/>
      </c>
      <c r="M271" s="174" t="str">
        <f t="shared" si="79"/>
        <v/>
      </c>
      <c r="N271" s="174" t="str">
        <f t="shared" si="79"/>
        <v/>
      </c>
      <c r="O271" s="174" t="str">
        <f t="shared" si="79"/>
        <v/>
      </c>
      <c r="P271" s="174" t="str">
        <f t="shared" si="79"/>
        <v/>
      </c>
      <c r="Q271" s="174" t="str">
        <f t="shared" si="79"/>
        <v/>
      </c>
      <c r="R271" s="174" t="str">
        <f t="shared" si="79"/>
        <v/>
      </c>
      <c r="S271" s="174" t="str">
        <f t="shared" si="79"/>
        <v/>
      </c>
      <c r="T271" s="174" t="str">
        <f t="shared" si="79"/>
        <v/>
      </c>
      <c r="U271" s="174" t="str">
        <f t="shared" si="79"/>
        <v/>
      </c>
      <c r="V271" s="174" t="str">
        <f t="shared" si="79"/>
        <v/>
      </c>
      <c r="W271" s="174" t="str">
        <f t="shared" si="79"/>
        <v/>
      </c>
      <c r="X271" s="174" t="str">
        <f t="shared" si="79"/>
        <v/>
      </c>
      <c r="Y271" s="174" t="str">
        <f t="shared" si="79"/>
        <v/>
      </c>
      <c r="Z271" s="174" t="str">
        <f t="shared" si="79"/>
        <v/>
      </c>
      <c r="AA271" s="174" t="str">
        <f t="shared" si="79"/>
        <v/>
      </c>
      <c r="AB271" s="174" t="str">
        <f t="shared" si="79"/>
        <v/>
      </c>
      <c r="AC271" s="174" t="str">
        <f t="shared" si="79"/>
        <v/>
      </c>
      <c r="AD271" s="174" t="str">
        <f t="shared" si="79"/>
        <v/>
      </c>
      <c r="AE271" s="174" t="str">
        <f t="shared" si="79"/>
        <v/>
      </c>
      <c r="AF271" s="174" t="str">
        <f t="shared" si="79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80">IF(B239&lt;100,"",B239-620)</f>
        <v/>
      </c>
      <c r="C272" s="174" t="str">
        <f t="shared" si="80"/>
        <v/>
      </c>
      <c r="D272" s="174" t="str">
        <f t="shared" si="80"/>
        <v/>
      </c>
      <c r="E272" s="174" t="str">
        <f t="shared" si="80"/>
        <v/>
      </c>
      <c r="F272" s="174" t="str">
        <f t="shared" si="80"/>
        <v/>
      </c>
      <c r="G272" s="174" t="str">
        <f t="shared" si="80"/>
        <v/>
      </c>
      <c r="H272" s="174" t="str">
        <f t="shared" si="80"/>
        <v/>
      </c>
      <c r="I272" s="174" t="str">
        <f t="shared" si="80"/>
        <v/>
      </c>
      <c r="J272" s="174" t="str">
        <f t="shared" si="80"/>
        <v/>
      </c>
      <c r="K272" s="174" t="str">
        <f t="shared" si="80"/>
        <v/>
      </c>
      <c r="L272" s="174" t="str">
        <f t="shared" si="80"/>
        <v/>
      </c>
      <c r="M272" s="174" t="str">
        <f t="shared" si="80"/>
        <v/>
      </c>
      <c r="N272" s="174" t="str">
        <f t="shared" si="80"/>
        <v/>
      </c>
      <c r="O272" s="174" t="str">
        <f t="shared" si="80"/>
        <v/>
      </c>
      <c r="P272" s="174" t="str">
        <f t="shared" si="80"/>
        <v/>
      </c>
      <c r="Q272" s="174" t="str">
        <f t="shared" si="80"/>
        <v/>
      </c>
      <c r="R272" s="174" t="str">
        <f t="shared" si="80"/>
        <v/>
      </c>
      <c r="S272" s="174" t="str">
        <f t="shared" si="80"/>
        <v/>
      </c>
      <c r="T272" s="174" t="str">
        <f t="shared" si="80"/>
        <v/>
      </c>
      <c r="U272" s="174" t="str">
        <f t="shared" si="80"/>
        <v/>
      </c>
      <c r="V272" s="174" t="str">
        <f t="shared" si="80"/>
        <v/>
      </c>
      <c r="W272" s="174" t="str">
        <f t="shared" si="80"/>
        <v/>
      </c>
      <c r="X272" s="174" t="str">
        <f t="shared" si="80"/>
        <v/>
      </c>
      <c r="Y272" s="174" t="str">
        <f t="shared" si="80"/>
        <v/>
      </c>
      <c r="Z272" s="174" t="str">
        <f t="shared" si="80"/>
        <v/>
      </c>
      <c r="AA272" s="174" t="str">
        <f t="shared" si="80"/>
        <v/>
      </c>
      <c r="AB272" s="174" t="str">
        <f t="shared" si="80"/>
        <v/>
      </c>
      <c r="AC272" s="174" t="str">
        <f t="shared" si="80"/>
        <v/>
      </c>
      <c r="AD272" s="174" t="str">
        <f t="shared" si="80"/>
        <v/>
      </c>
      <c r="AE272" s="174" t="str">
        <f t="shared" si="80"/>
        <v/>
      </c>
      <c r="AF272" s="174" t="str">
        <f t="shared" si="80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81">IF(B240&lt;100,"",B240-330)</f>
        <v/>
      </c>
      <c r="C273" s="174" t="str">
        <f t="shared" si="81"/>
        <v/>
      </c>
      <c r="D273" s="174" t="str">
        <f t="shared" si="81"/>
        <v/>
      </c>
      <c r="E273" s="174" t="str">
        <f t="shared" si="81"/>
        <v/>
      </c>
      <c r="F273" s="174" t="str">
        <f t="shared" si="81"/>
        <v/>
      </c>
      <c r="G273" s="174" t="str">
        <f t="shared" si="81"/>
        <v/>
      </c>
      <c r="H273" s="174" t="str">
        <f t="shared" si="81"/>
        <v/>
      </c>
      <c r="I273" s="174" t="str">
        <f t="shared" si="81"/>
        <v/>
      </c>
      <c r="J273" s="174" t="str">
        <f t="shared" si="81"/>
        <v/>
      </c>
      <c r="K273" s="174" t="str">
        <f t="shared" si="81"/>
        <v/>
      </c>
      <c r="L273" s="174" t="str">
        <f t="shared" si="81"/>
        <v/>
      </c>
      <c r="M273" s="174" t="str">
        <f t="shared" si="81"/>
        <v/>
      </c>
      <c r="N273" s="174" t="str">
        <f t="shared" si="81"/>
        <v/>
      </c>
      <c r="O273" s="174" t="str">
        <f t="shared" si="81"/>
        <v/>
      </c>
      <c r="P273" s="174" t="str">
        <f t="shared" si="81"/>
        <v/>
      </c>
      <c r="Q273" s="174" t="str">
        <f t="shared" si="81"/>
        <v/>
      </c>
      <c r="R273" s="174" t="str">
        <f t="shared" si="81"/>
        <v/>
      </c>
      <c r="S273" s="174" t="str">
        <f t="shared" si="81"/>
        <v/>
      </c>
      <c r="T273" s="174" t="str">
        <f t="shared" si="81"/>
        <v/>
      </c>
      <c r="U273" s="174" t="str">
        <f t="shared" si="81"/>
        <v/>
      </c>
      <c r="V273" s="174" t="str">
        <f t="shared" si="81"/>
        <v/>
      </c>
      <c r="W273" s="174" t="str">
        <f t="shared" si="81"/>
        <v/>
      </c>
      <c r="X273" s="174" t="str">
        <f t="shared" si="81"/>
        <v/>
      </c>
      <c r="Y273" s="174" t="str">
        <f t="shared" si="81"/>
        <v/>
      </c>
      <c r="Z273" s="174" t="str">
        <f t="shared" si="81"/>
        <v/>
      </c>
      <c r="AA273" s="174" t="str">
        <f t="shared" si="81"/>
        <v/>
      </c>
      <c r="AB273" s="174" t="str">
        <f t="shared" si="81"/>
        <v/>
      </c>
      <c r="AC273" s="174" t="str">
        <f t="shared" si="81"/>
        <v/>
      </c>
      <c r="AD273" s="174" t="str">
        <f t="shared" si="81"/>
        <v/>
      </c>
      <c r="AE273" s="174" t="str">
        <f t="shared" si="81"/>
        <v/>
      </c>
      <c r="AF273" s="174" t="str">
        <f t="shared" si="81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82">IF(B241&lt;100,"",B241-1500)</f>
        <v/>
      </c>
      <c r="C274" s="174" t="str">
        <f t="shared" si="82"/>
        <v/>
      </c>
      <c r="D274" s="174" t="str">
        <f t="shared" si="82"/>
        <v/>
      </c>
      <c r="E274" s="174" t="str">
        <f t="shared" si="82"/>
        <v/>
      </c>
      <c r="F274" s="174" t="str">
        <f t="shared" si="82"/>
        <v/>
      </c>
      <c r="G274" s="174" t="str">
        <f t="shared" si="82"/>
        <v/>
      </c>
      <c r="H274" s="174" t="str">
        <f t="shared" si="82"/>
        <v/>
      </c>
      <c r="I274" s="174" t="str">
        <f t="shared" si="82"/>
        <v/>
      </c>
      <c r="J274" s="174" t="str">
        <f t="shared" si="82"/>
        <v/>
      </c>
      <c r="K274" s="174" t="str">
        <f t="shared" si="82"/>
        <v/>
      </c>
      <c r="L274" s="174" t="str">
        <f t="shared" si="82"/>
        <v/>
      </c>
      <c r="M274" s="174" t="str">
        <f t="shared" si="82"/>
        <v/>
      </c>
      <c r="N274" s="174" t="str">
        <f t="shared" si="82"/>
        <v/>
      </c>
      <c r="O274" s="174" t="str">
        <f t="shared" si="82"/>
        <v/>
      </c>
      <c r="P274" s="174" t="str">
        <f t="shared" si="82"/>
        <v/>
      </c>
      <c r="Q274" s="174" t="str">
        <f t="shared" si="82"/>
        <v/>
      </c>
      <c r="R274" s="174" t="str">
        <f t="shared" si="82"/>
        <v/>
      </c>
      <c r="S274" s="174" t="str">
        <f t="shared" si="82"/>
        <v/>
      </c>
      <c r="T274" s="174" t="str">
        <f t="shared" si="82"/>
        <v/>
      </c>
      <c r="U274" s="174" t="str">
        <f t="shared" si="82"/>
        <v/>
      </c>
      <c r="V274" s="174" t="str">
        <f t="shared" si="82"/>
        <v/>
      </c>
      <c r="W274" s="174" t="str">
        <f t="shared" si="82"/>
        <v/>
      </c>
      <c r="X274" s="174" t="str">
        <f t="shared" si="82"/>
        <v/>
      </c>
      <c r="Y274" s="174" t="str">
        <f t="shared" si="82"/>
        <v/>
      </c>
      <c r="Z274" s="174" t="str">
        <f t="shared" si="82"/>
        <v/>
      </c>
      <c r="AA274" s="174" t="str">
        <f t="shared" si="82"/>
        <v/>
      </c>
      <c r="AB274" s="174" t="str">
        <f t="shared" si="82"/>
        <v/>
      </c>
      <c r="AC274" s="174" t="str">
        <f t="shared" si="82"/>
        <v/>
      </c>
      <c r="AD274" s="174" t="str">
        <f t="shared" si="82"/>
        <v/>
      </c>
      <c r="AE274" s="174" t="str">
        <f t="shared" si="82"/>
        <v/>
      </c>
      <c r="AF274" s="174" t="str">
        <f t="shared" si="82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593" priority="64">
      <formula>$AH11=0</formula>
    </cfRule>
  </conditionalFormatting>
  <conditionalFormatting sqref="B8 M8 S8 AB8">
    <cfRule type="expression" dxfId="592" priority="115">
      <formula>AND(C$9&gt;=14/24,C$9&lt;20/24)</formula>
    </cfRule>
    <cfRule type="expression" dxfId="591" priority="116">
      <formula>AND(C$9&gt;=8/24,C$9&lt;14/24)</formula>
    </cfRule>
    <cfRule type="expression" dxfId="590" priority="117">
      <formula>C$9&lt;8/24</formula>
    </cfRule>
  </conditionalFormatting>
  <conditionalFormatting sqref="B54:C54">
    <cfRule type="expression" dxfId="589" priority="38">
      <formula>B$9&gt;=20/24</formula>
    </cfRule>
    <cfRule type="expression" dxfId="588" priority="39">
      <formula>AND(B$9&gt;=14/24,B$9&lt;20/24)</formula>
    </cfRule>
    <cfRule type="expression" dxfId="587" priority="40">
      <formula>AND(B$9&gt;=8/24,B$9&lt;14/24)</formula>
    </cfRule>
    <cfRule type="expression" dxfId="586" priority="41">
      <formula>B$9&lt;8/24</formula>
    </cfRule>
  </conditionalFormatting>
  <conditionalFormatting sqref="B54:C66 D55:E66 C61:J61 F61:L66">
    <cfRule type="expression" dxfId="585" priority="33">
      <formula>B54&gt;$AG54</formula>
    </cfRule>
  </conditionalFormatting>
  <conditionalFormatting sqref="B55:E59">
    <cfRule type="expression" dxfId="584" priority="60">
      <formula>B$9&gt;=20/24</formula>
    </cfRule>
    <cfRule type="expression" dxfId="583" priority="61">
      <formula>AND(B$9&gt;=14/24,B$9&lt;20/24)</formula>
    </cfRule>
    <cfRule type="expression" dxfId="582" priority="62">
      <formula>AND(B$9&gt;=8/24,B$9&lt;14/24)</formula>
    </cfRule>
    <cfRule type="expression" dxfId="581" priority="63">
      <formula>B$9&lt;8/24</formula>
    </cfRule>
  </conditionalFormatting>
  <conditionalFormatting sqref="B60:AF60">
    <cfRule type="expression" dxfId="580" priority="51">
      <formula>B$9&gt;=20/24</formula>
    </cfRule>
    <cfRule type="expression" dxfId="579" priority="52">
      <formula>AND(B$9&gt;=14/24,B$9&lt;20/24)</formula>
    </cfRule>
    <cfRule type="expression" dxfId="578" priority="53">
      <formula>AND(B$9&gt;=8/24,B$9&lt;14/24)</formula>
    </cfRule>
    <cfRule type="expression" dxfId="577" priority="54">
      <formula>B$9&lt;8/24</formula>
    </cfRule>
  </conditionalFormatting>
  <conditionalFormatting sqref="B61:AF66">
    <cfRule type="expression" dxfId="576" priority="34">
      <formula>B$9&gt;=20/24</formula>
    </cfRule>
    <cfRule type="expression" dxfId="575" priority="35">
      <formula>AND(B$9&gt;=14/24,B$9&lt;20/24)</formula>
    </cfRule>
    <cfRule type="expression" dxfId="574" priority="36">
      <formula>AND(B$9&gt;=8/24,B$9&lt;14/24)</formula>
    </cfRule>
    <cfRule type="expression" dxfId="573" priority="37">
      <formula>B$9&lt;8/24</formula>
    </cfRule>
  </conditionalFormatting>
  <conditionalFormatting sqref="B9:AF45">
    <cfRule type="expression" dxfId="572" priority="23">
      <formula>B$9&gt;=20/24</formula>
    </cfRule>
    <cfRule type="expression" dxfId="571" priority="24">
      <formula>AND(B$9&gt;=14/24,B$9&lt;20/24)</formula>
    </cfRule>
    <cfRule type="expression" dxfId="570" priority="25">
      <formula>AND(B$9&gt;=8/24,B$9&lt;14/24)</formula>
    </cfRule>
    <cfRule type="expression" dxfId="569" priority="26">
      <formula>B$9&lt;8/24</formula>
    </cfRule>
  </conditionalFormatting>
  <conditionalFormatting sqref="B11:AF46">
    <cfRule type="expression" dxfId="568" priority="22">
      <formula>B11&gt;$AG11</formula>
    </cfRule>
  </conditionalFormatting>
  <conditionalFormatting sqref="B46:AF46">
    <cfRule type="expression" dxfId="567" priority="18">
      <formula>B$9&gt;=20/24</formula>
    </cfRule>
    <cfRule type="expression" dxfId="566" priority="19">
      <formula>AND(B$9&gt;=14/24,B$9&lt;20/24)</formula>
    </cfRule>
    <cfRule type="expression" dxfId="565" priority="20">
      <formula>AND(B$9&gt;=8/24,B$9&lt;14/24)</formula>
    </cfRule>
    <cfRule type="expression" dxfId="564" priority="21">
      <formula>B$9&lt;8/24</formula>
    </cfRule>
  </conditionalFormatting>
  <conditionalFormatting sqref="B47:AF47">
    <cfRule type="expression" dxfId="563" priority="32">
      <formula>B47&gt;$AG47</formula>
    </cfRule>
  </conditionalFormatting>
  <conditionalFormatting sqref="B47:AF49">
    <cfRule type="expression" dxfId="562" priority="28">
      <formula>B$9&gt;=20/24</formula>
    </cfRule>
    <cfRule type="expression" dxfId="561" priority="29">
      <formula>AND(B$9&gt;=14/24,B$9&lt;20/24)</formula>
    </cfRule>
    <cfRule type="expression" dxfId="560" priority="30">
      <formula>AND(B$9&gt;=8/24,B$9&lt;14/24)</formula>
    </cfRule>
    <cfRule type="expression" dxfId="559" priority="31">
      <formula>B$9&lt;8/24</formula>
    </cfRule>
  </conditionalFormatting>
  <conditionalFormatting sqref="B48:AF53">
    <cfRule type="expression" dxfId="558" priority="27">
      <formula>B48&gt;$AG48</formula>
    </cfRule>
  </conditionalFormatting>
  <conditionalFormatting sqref="B51:AF53">
    <cfRule type="expression" dxfId="557" priority="47">
      <formula>B$9&gt;=20/24</formula>
    </cfRule>
    <cfRule type="expression" dxfId="556" priority="48">
      <formula>AND(B$9&gt;=14/24,B$9&lt;20/24)</formula>
    </cfRule>
    <cfRule type="expression" dxfId="555" priority="49">
      <formula>AND(B$9&gt;=8/24,B$9&lt;14/24)</formula>
    </cfRule>
    <cfRule type="expression" dxfId="554" priority="50">
      <formula>B$9&lt;8/24</formula>
    </cfRule>
  </conditionalFormatting>
  <conditionalFormatting sqref="B69:AF71">
    <cfRule type="expression" dxfId="553" priority="55">
      <formula>B69&gt;$AG69</formula>
    </cfRule>
    <cfRule type="expression" dxfId="552" priority="56">
      <formula>B$9&gt;=20/24</formula>
    </cfRule>
    <cfRule type="expression" dxfId="551" priority="57">
      <formula>AND(B$9&gt;=14/24,B$9&lt;20/24)</formula>
    </cfRule>
    <cfRule type="expression" dxfId="550" priority="58">
      <formula>AND(B$9&gt;=8/24,B$9&lt;14/24)</formula>
    </cfRule>
    <cfRule type="expression" dxfId="549" priority="59">
      <formula>B$9&lt;8/24</formula>
    </cfRule>
  </conditionalFormatting>
  <conditionalFormatting sqref="B73:AF91">
    <cfRule type="expression" dxfId="548" priority="1">
      <formula>B$9&gt;=20/24</formula>
    </cfRule>
    <cfRule type="expression" dxfId="547" priority="2">
      <formula>AND(B$9&gt;=14/24,B$9&lt;20/24)</formula>
    </cfRule>
    <cfRule type="expression" dxfId="546" priority="3">
      <formula>AND(B$9&gt;=8/24,B$9&lt;14/24)</formula>
    </cfRule>
    <cfRule type="expression" dxfId="545" priority="4">
      <formula>B$9&lt;8/24</formula>
    </cfRule>
  </conditionalFormatting>
  <conditionalFormatting sqref="B111:AF120">
    <cfRule type="expression" dxfId="544" priority="14">
      <formula>B$9&gt;=20/24</formula>
    </cfRule>
    <cfRule type="expression" dxfId="543" priority="15">
      <formula>AND(B$9&gt;=14/24,B$9&lt;20/24)</formula>
    </cfRule>
    <cfRule type="expression" dxfId="542" priority="16">
      <formula>AND(B$9&gt;=8/24,B$9&lt;14/24)</formula>
    </cfRule>
    <cfRule type="expression" dxfId="541" priority="17">
      <formula>B$9&lt;8/24</formula>
    </cfRule>
  </conditionalFormatting>
  <conditionalFormatting sqref="B227:AF227 D229:AF230 B229:B235 D231:H231 J231:AF231 D232:AF235 U248:AF248">
    <cfRule type="expression" dxfId="540" priority="108">
      <formula>B$9&gt;=20/24</formula>
    </cfRule>
    <cfRule type="expression" dxfId="539" priority="109">
      <formula>AND(B$9&gt;=14/24,B$9&lt;20/24)</formula>
    </cfRule>
    <cfRule type="expression" dxfId="538" priority="110">
      <formula>AND(B$9&gt;=8/24,B$9&lt;14/24)</formula>
    </cfRule>
    <cfRule type="expression" dxfId="537" priority="111">
      <formula>B$9&lt;8/24</formula>
    </cfRule>
  </conditionalFormatting>
  <conditionalFormatting sqref="B72:AG72 B67:AG68">
    <cfRule type="expression" dxfId="536" priority="42">
      <formula>B67&gt;$AG67</formula>
    </cfRule>
  </conditionalFormatting>
  <conditionalFormatting sqref="B72:AG72 B93:AF109">
    <cfRule type="expression" dxfId="535" priority="43">
      <formula>B$9&gt;=20/24</formula>
    </cfRule>
    <cfRule type="expression" dxfId="534" priority="44">
      <formula>AND(B$9&gt;=14/24,B$9&lt;20/24)</formula>
    </cfRule>
    <cfRule type="expression" dxfId="533" priority="45">
      <formula>AND(B$9&gt;=8/24,B$9&lt;14/24)</formula>
    </cfRule>
    <cfRule type="expression" dxfId="532" priority="46">
      <formula>B$9&lt;8/24</formula>
    </cfRule>
  </conditionalFormatting>
  <conditionalFormatting sqref="F55:AF66">
    <cfRule type="expression" dxfId="531" priority="5">
      <formula>F55&gt;$AG55</formula>
    </cfRule>
  </conditionalFormatting>
  <conditionalFormatting sqref="D54:AG54">
    <cfRule type="expression" dxfId="530" priority="76">
      <formula>D54&gt;$AG54</formula>
    </cfRule>
    <cfRule type="expression" dxfId="529" priority="77">
      <formula>D$9&gt;=20/24</formula>
    </cfRule>
    <cfRule type="expression" dxfId="528" priority="78">
      <formula>AND(D$9&gt;=14/24,D$9&lt;20/24)</formula>
    </cfRule>
    <cfRule type="expression" dxfId="527" priority="79">
      <formula>AND(D$9&gt;=8/24,D$9&lt;14/24)</formula>
    </cfRule>
    <cfRule type="expression" dxfId="526" priority="80">
      <formula>D$9&lt;8/24</formula>
    </cfRule>
  </conditionalFormatting>
  <conditionalFormatting sqref="F55:L57">
    <cfRule type="expression" dxfId="525" priority="89">
      <formula>F$9&gt;=20/24</formula>
    </cfRule>
    <cfRule type="expression" dxfId="524" priority="90">
      <formula>AND(F$9&gt;=14/24,F$9&lt;20/24)</formula>
    </cfRule>
    <cfRule type="expression" dxfId="523" priority="91">
      <formula>AND(F$9&gt;=8/24,F$9&lt;14/24)</formula>
    </cfRule>
    <cfRule type="expression" dxfId="522" priority="92">
      <formula>F$9&lt;8/24</formula>
    </cfRule>
  </conditionalFormatting>
  <conditionalFormatting sqref="M55:AA59 AB59:AF59">
    <cfRule type="expression" dxfId="521" priority="93">
      <formula>M$9&gt;=20/24</formula>
    </cfRule>
    <cfRule type="expression" dxfId="520" priority="94">
      <formula>AND(M$9&gt;=14/24,M$9&lt;20/24)</formula>
    </cfRule>
    <cfRule type="expression" dxfId="519" priority="95">
      <formula>AND(M$9&gt;=8/24,M$9&lt;14/24)</formula>
    </cfRule>
    <cfRule type="expression" dxfId="518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517" priority="114">
      <formula>C$9&gt;=20/24</formula>
    </cfRule>
  </conditionalFormatting>
  <conditionalFormatting sqref="S8">
    <cfRule type="expression" dxfId="516" priority="101">
      <formula>U$9&gt;=20/24</formula>
    </cfRule>
    <cfRule type="expression" dxfId="515" priority="102">
      <formula>AND(U$9&gt;=14/24,U$9&lt;20/24)</formula>
    </cfRule>
    <cfRule type="expression" dxfId="514" priority="103">
      <formula>AND(U$9&gt;=8/24,U$9&lt;14/24)</formula>
    </cfRule>
    <cfRule type="expression" dxfId="513" priority="104">
      <formula>U$9&lt;8/24</formula>
    </cfRule>
  </conditionalFormatting>
  <conditionalFormatting sqref="U55:AF60">
    <cfRule type="expression" dxfId="512" priority="10">
      <formula>U$9&gt;=20/24</formula>
    </cfRule>
    <cfRule type="expression" dxfId="511" priority="11">
      <formula>AND(U$9&gt;=14/24,U$9&lt;20/24)</formula>
    </cfRule>
    <cfRule type="expression" dxfId="510" priority="12">
      <formula>AND(U$9&gt;=8/24,U$9&lt;14/24)</formula>
    </cfRule>
    <cfRule type="expression" dxfId="509" priority="13">
      <formula>U$9&lt;8/24</formula>
    </cfRule>
  </conditionalFormatting>
  <conditionalFormatting sqref="T248">
    <cfRule type="expression" dxfId="508" priority="126">
      <formula>AX$9&gt;=20/24</formula>
    </cfRule>
    <cfRule type="expression" dxfId="507" priority="127">
      <formula>AND(AX$9&gt;=14/24,AX$9&lt;20/24)</formula>
    </cfRule>
    <cfRule type="expression" dxfId="506" priority="128">
      <formula>AND(AX$9&gt;=8/24,AX$9&lt;14/24)</formula>
    </cfRule>
    <cfRule type="expression" dxfId="50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504" priority="97">
      <formula>AD$9&gt;=20/24</formula>
    </cfRule>
    <cfRule type="expression" dxfId="503" priority="98">
      <formula>AND(AD$9&gt;=14/24,AD$9&lt;20/24)</formula>
    </cfRule>
    <cfRule type="expression" dxfId="502" priority="99">
      <formula>AND(AD$9&gt;=8/24,AD$9&lt;14/24)</formula>
    </cfRule>
    <cfRule type="expression" dxfId="501" priority="100">
      <formula>AD$9&lt;8/24</formula>
    </cfRule>
  </conditionalFormatting>
  <conditionalFormatting sqref="AG50">
    <cfRule type="expression" dxfId="500" priority="84">
      <formula>AG50&gt;$AG50</formula>
    </cfRule>
  </conditionalFormatting>
  <conditionalFormatting sqref="AG89">
    <cfRule type="expression" dxfId="499" priority="85">
      <formula>AG$9&gt;=20/24</formula>
    </cfRule>
    <cfRule type="expression" dxfId="498" priority="86">
      <formula>AND(AG$9&gt;=14/24,AG$9&lt;20/24)</formula>
    </cfRule>
    <cfRule type="expression" dxfId="497" priority="87">
      <formula>AND(AG$9&gt;=8/24,AG$9&lt;14/24)</formula>
    </cfRule>
    <cfRule type="expression" dxfId="496" priority="88">
      <formula>AG$9&lt;8/24</formula>
    </cfRule>
  </conditionalFormatting>
  <conditionalFormatting sqref="AG248">
    <cfRule type="expression" dxfId="495" priority="118">
      <formula>B$9&gt;=20/24</formula>
    </cfRule>
    <cfRule type="expression" dxfId="494" priority="119">
      <formula>AND(B$9&gt;=14/24,B$9&lt;20/24)</formula>
    </cfRule>
    <cfRule type="expression" dxfId="493" priority="120">
      <formula>AND(B$9&gt;=8/24,B$9&lt;14/24)</formula>
    </cfRule>
    <cfRule type="expression" dxfId="492" priority="121">
      <formula>B$9&lt;8/24</formula>
    </cfRule>
  </conditionalFormatting>
  <conditionalFormatting sqref="AH248:AX248">
    <cfRule type="expression" dxfId="491" priority="122">
      <formula>AG$9&gt;=20/24</formula>
    </cfRule>
    <cfRule type="expression" dxfId="490" priority="123">
      <formula>AND(AG$9&gt;=14/24,AG$9&lt;20/24)</formula>
    </cfRule>
    <cfRule type="expression" dxfId="489" priority="124">
      <formula>AND(AG$9&gt;=8/24,AG$9&lt;14/24)</formula>
    </cfRule>
    <cfRule type="expression" dxfId="48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487" priority="131">
      <formula>AJ$9&gt;=20/24</formula>
    </cfRule>
    <cfRule type="expression" dxfId="486" priority="132">
      <formula>AND(AJ$9&gt;=14/24,AJ$9&lt;20/24)</formula>
    </cfRule>
    <cfRule type="expression" dxfId="485" priority="133">
      <formula>AND(AJ$9&gt;=8/24,AJ$9&lt;14/24)</formula>
    </cfRule>
    <cfRule type="expression" dxfId="484" priority="134">
      <formula>AJ$9&lt;8/24</formula>
    </cfRule>
  </conditionalFormatting>
  <conditionalFormatting sqref="AL80:AN80 AL86:AN86">
    <cfRule type="expression" dxfId="483" priority="72">
      <formula>AL$9&gt;=20/24</formula>
    </cfRule>
    <cfRule type="expression" dxfId="482" priority="73">
      <formula>AND(AL$9&gt;=14/24,AL$9&lt;20/24)</formula>
    </cfRule>
    <cfRule type="expression" dxfId="481" priority="74">
      <formula>AND(AL$9&gt;=8/24,AL$9&lt;14/24)</formula>
    </cfRule>
    <cfRule type="expression" dxfId="480" priority="75">
      <formula>AL$9&lt;8/24</formula>
    </cfRule>
  </conditionalFormatting>
  <conditionalFormatting sqref="AN81:AN84">
    <cfRule type="expression" dxfId="479" priority="68">
      <formula>AN$9&gt;=20/24</formula>
    </cfRule>
    <cfRule type="expression" dxfId="478" priority="69">
      <formula>AND(AN$9&gt;=14/24,AN$9&lt;20/24)</formula>
    </cfRule>
    <cfRule type="expression" dxfId="477" priority="70">
      <formula>AND(AN$9&gt;=8/24,AN$9&lt;14/24)</formula>
    </cfRule>
    <cfRule type="expression" dxfId="47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CDE-C03B-4653-B20C-6EFE871D6AB4}">
  <sheetPr codeName="Sheet34"/>
  <dimension ref="A1:CJ281"/>
  <sheetViews>
    <sheetView workbookViewId="0">
      <pane xSplit="1" ySplit="10" topLeftCell="H3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7.28515625" style="1" customWidth="1"/>
    <col min="11" max="11" width="6.85546875" style="1" customWidth="1"/>
    <col min="12" max="12" width="7.1406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2080/05/30</v>
      </c>
      <c r="C4" s="196"/>
      <c r="D4" s="196"/>
      <c r="E4" s="197" t="str">
        <f ca="1">"2080/"&amp;"05/"&amp;INT(MID(CELL("filename",G6),FIND("]",CELL("filename",G6))+1,200))</f>
        <v>2080/05/30</v>
      </c>
      <c r="F4" s="197"/>
      <c r="G4" s="197"/>
      <c r="H4" s="197" t="str">
        <f ca="1">TEXT(E4,"dddd")</f>
        <v>Thursday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8.5</v>
      </c>
      <c r="AA5" s="30">
        <f t="shared" si="0"/>
        <v>8.8000000000000007</v>
      </c>
      <c r="AB5" s="30">
        <f t="shared" si="0"/>
        <v>5</v>
      </c>
      <c r="AC5" s="30">
        <f t="shared" si="0"/>
        <v>5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2129MW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2112.04</v>
      </c>
      <c r="C7" s="35">
        <f t="shared" si="1"/>
        <v>2102.04</v>
      </c>
      <c r="D7" s="35">
        <f t="shared" si="1"/>
        <v>2103.14</v>
      </c>
      <c r="E7" s="35">
        <f t="shared" si="1"/>
        <v>2118.84</v>
      </c>
      <c r="F7" s="35">
        <f t="shared" si="1"/>
        <v>2062.44</v>
      </c>
      <c r="G7" s="35">
        <f t="shared" si="1"/>
        <v>2074.14</v>
      </c>
      <c r="H7" s="35">
        <f t="shared" si="1"/>
        <v>2078.3399999999997</v>
      </c>
      <c r="I7" s="35">
        <f t="shared" si="1"/>
        <v>2078.3399999999997</v>
      </c>
      <c r="J7" s="35">
        <f t="shared" si="1"/>
        <v>2078.3399999999997</v>
      </c>
      <c r="K7" s="35">
        <f t="shared" si="1"/>
        <v>2078.3399999999997</v>
      </c>
      <c r="L7" s="35">
        <f t="shared" si="1"/>
        <v>2099.7399999999998</v>
      </c>
      <c r="M7" s="35">
        <f t="shared" si="1"/>
        <v>2101.7400000000002</v>
      </c>
      <c r="N7" s="35">
        <f>N91</f>
        <v>2128.84</v>
      </c>
      <c r="O7" s="35">
        <f t="shared" si="1"/>
        <v>2123.54</v>
      </c>
      <c r="P7" s="35">
        <f t="shared" si="1"/>
        <v>2089.2399999999998</v>
      </c>
      <c r="Q7" s="35">
        <f t="shared" si="1"/>
        <v>2093.8399999999997</v>
      </c>
      <c r="R7" s="35">
        <f t="shared" si="1"/>
        <v>2086.44</v>
      </c>
      <c r="S7" s="35">
        <f t="shared" si="1"/>
        <v>2083.54</v>
      </c>
      <c r="T7" s="35">
        <f t="shared" si="1"/>
        <v>2080.6400000000003</v>
      </c>
      <c r="U7" s="35">
        <f t="shared" si="1"/>
        <v>3.54</v>
      </c>
      <c r="V7" s="35">
        <f t="shared" si="1"/>
        <v>2047.8400000000001</v>
      </c>
      <c r="W7" s="35">
        <f t="shared" si="1"/>
        <v>2036.14</v>
      </c>
      <c r="X7" s="35">
        <f t="shared" si="1"/>
        <v>2102.94</v>
      </c>
      <c r="Y7" s="35">
        <f t="shared" si="1"/>
        <v>2136.54</v>
      </c>
      <c r="Z7" s="35">
        <f t="shared" si="1"/>
        <v>2207.44</v>
      </c>
      <c r="AA7" s="35">
        <f t="shared" si="1"/>
        <v>2201.04</v>
      </c>
      <c r="AB7" s="35">
        <f t="shared" si="1"/>
        <v>2185.34</v>
      </c>
      <c r="AC7" s="35">
        <f t="shared" si="1"/>
        <v>2150.44</v>
      </c>
      <c r="AD7" s="35">
        <f t="shared" si="1"/>
        <v>2118.6400000000003</v>
      </c>
      <c r="AE7" s="35">
        <f t="shared" si="1"/>
        <v>2113.6400000000003</v>
      </c>
      <c r="AF7" s="35">
        <f t="shared" si="1"/>
        <v>2040.8400000000001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89.8</v>
      </c>
      <c r="N11" s="45">
        <v>89.9</v>
      </c>
      <c r="O11" s="45">
        <v>89.9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/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89.8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13</v>
      </c>
      <c r="S12" s="45">
        <v>13</v>
      </c>
      <c r="T12" s="45">
        <v>13</v>
      </c>
      <c r="U12" s="45"/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54.4</v>
      </c>
      <c r="N13" s="45">
        <v>54.4</v>
      </c>
      <c r="O13" s="45">
        <v>54.4</v>
      </c>
      <c r="P13" s="45">
        <v>54.4</v>
      </c>
      <c r="Q13" s="45">
        <v>54.4</v>
      </c>
      <c r="R13" s="45">
        <v>54.4</v>
      </c>
      <c r="S13" s="45">
        <v>54.4</v>
      </c>
      <c r="T13" s="45">
        <v>54.4</v>
      </c>
      <c r="U13" s="45" t="s">
        <v>286</v>
      </c>
      <c r="V13" s="45">
        <v>54.4</v>
      </c>
      <c r="W13" s="45">
        <v>54.4</v>
      </c>
      <c r="X13" s="45">
        <v>54.4</v>
      </c>
      <c r="Y13" s="45">
        <v>54.4</v>
      </c>
      <c r="Z13" s="45">
        <v>54.4</v>
      </c>
      <c r="AA13" s="45">
        <v>54.4</v>
      </c>
      <c r="AB13" s="45">
        <v>54.4</v>
      </c>
      <c r="AC13" s="45">
        <v>54.4</v>
      </c>
      <c r="AD13" s="45">
        <v>54.4</v>
      </c>
      <c r="AE13" s="45">
        <v>54.4</v>
      </c>
      <c r="AF13" s="45">
        <v>54.4</v>
      </c>
      <c r="AG13" s="46">
        <v>52.4</v>
      </c>
      <c r="AH13" s="47">
        <f t="shared" si="2"/>
        <v>54.5</v>
      </c>
      <c r="AI13" s="48">
        <f t="shared" si="3"/>
        <v>54.4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50.5</v>
      </c>
      <c r="O14" s="58">
        <v>50.5</v>
      </c>
      <c r="P14" s="58">
        <v>50.5</v>
      </c>
      <c r="Q14" s="58">
        <v>50.5</v>
      </c>
      <c r="R14" s="58">
        <v>50.7</v>
      </c>
      <c r="S14" s="58">
        <v>50.7</v>
      </c>
      <c r="T14" s="58">
        <v>50.7</v>
      </c>
      <c r="U14" s="58" t="s">
        <v>287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36</v>
      </c>
      <c r="G15" s="45">
        <v>36</v>
      </c>
      <c r="H15" s="45">
        <v>43</v>
      </c>
      <c r="I15" s="45">
        <v>46</v>
      </c>
      <c r="J15" s="45">
        <v>46</v>
      </c>
      <c r="K15" s="45">
        <v>46</v>
      </c>
      <c r="L15" s="45">
        <v>46</v>
      </c>
      <c r="M15" s="45">
        <v>46.7</v>
      </c>
      <c r="N15" s="45">
        <v>46.9</v>
      </c>
      <c r="O15" s="45">
        <v>46.9</v>
      </c>
      <c r="P15" s="45">
        <v>46.9</v>
      </c>
      <c r="Q15" s="45">
        <v>46.9</v>
      </c>
      <c r="R15" s="45">
        <v>46.8</v>
      </c>
      <c r="S15" s="45">
        <v>46.8</v>
      </c>
      <c r="T15" s="45">
        <v>46.8</v>
      </c>
      <c r="U15" s="45" t="s">
        <v>288</v>
      </c>
      <c r="V15" s="45">
        <v>46.8</v>
      </c>
      <c r="W15" s="45">
        <v>46.8</v>
      </c>
      <c r="X15" s="45">
        <v>46.8</v>
      </c>
      <c r="Y15" s="45">
        <v>46.8</v>
      </c>
      <c r="Z15" s="45">
        <v>46.8</v>
      </c>
      <c r="AA15" s="45">
        <v>46.8</v>
      </c>
      <c r="AB15" s="45">
        <v>46.8</v>
      </c>
      <c r="AC15" s="45">
        <v>46.8</v>
      </c>
      <c r="AD15" s="45">
        <v>46.8</v>
      </c>
      <c r="AE15" s="45">
        <v>46.8</v>
      </c>
      <c r="AF15" s="45">
        <v>36</v>
      </c>
      <c r="AG15" s="49">
        <v>45</v>
      </c>
      <c r="AH15" s="47">
        <f t="shared" si="2"/>
        <v>46.9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 t="s">
        <v>290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31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29.5</v>
      </c>
      <c r="N17" s="45">
        <v>29.5</v>
      </c>
      <c r="O17" s="45">
        <v>29.5</v>
      </c>
      <c r="P17" s="45">
        <v>29.5</v>
      </c>
      <c r="Q17" s="45">
        <v>28</v>
      </c>
      <c r="R17" s="45">
        <v>28</v>
      </c>
      <c r="S17" s="45">
        <v>28</v>
      </c>
      <c r="T17" s="45">
        <v>28</v>
      </c>
      <c r="U17" s="45" t="s">
        <v>291</v>
      </c>
      <c r="V17" s="45">
        <v>28</v>
      </c>
      <c r="W17" s="45">
        <v>28</v>
      </c>
      <c r="X17" s="45">
        <v>28</v>
      </c>
      <c r="Y17" s="45">
        <v>28</v>
      </c>
      <c r="Z17" s="45">
        <v>35</v>
      </c>
      <c r="AA17" s="45">
        <v>35</v>
      </c>
      <c r="AB17" s="45">
        <v>35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35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 t="s">
        <v>285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 t="s">
        <v>287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32</v>
      </c>
      <c r="C19" s="45">
        <v>32</v>
      </c>
      <c r="D19" s="45">
        <v>32</v>
      </c>
      <c r="E19" s="45">
        <v>32</v>
      </c>
      <c r="F19" s="45">
        <v>32</v>
      </c>
      <c r="G19" s="45">
        <v>32</v>
      </c>
      <c r="H19" s="45">
        <v>32</v>
      </c>
      <c r="I19" s="45">
        <v>36</v>
      </c>
      <c r="J19" s="45">
        <v>36</v>
      </c>
      <c r="K19" s="45">
        <v>36</v>
      </c>
      <c r="L19" s="45">
        <v>36</v>
      </c>
      <c r="M19" s="45">
        <v>36</v>
      </c>
      <c r="N19" s="45">
        <v>36</v>
      </c>
      <c r="O19" s="45">
        <v>36</v>
      </c>
      <c r="P19" s="45">
        <v>36</v>
      </c>
      <c r="Q19" s="45">
        <v>36</v>
      </c>
      <c r="R19" s="45">
        <v>36</v>
      </c>
      <c r="S19" s="45">
        <v>36</v>
      </c>
      <c r="T19" s="45">
        <v>36</v>
      </c>
      <c r="U19" s="45" t="s">
        <v>292</v>
      </c>
      <c r="V19" s="45">
        <v>36</v>
      </c>
      <c r="W19" s="45">
        <v>36</v>
      </c>
      <c r="X19" s="45">
        <v>36</v>
      </c>
      <c r="Y19" s="45">
        <v>36</v>
      </c>
      <c r="Z19" s="45">
        <v>36</v>
      </c>
      <c r="AA19" s="45">
        <v>36</v>
      </c>
      <c r="AB19" s="45">
        <v>36</v>
      </c>
      <c r="AC19" s="45">
        <v>36</v>
      </c>
      <c r="AD19" s="45">
        <v>36</v>
      </c>
      <c r="AE19" s="45">
        <v>36</v>
      </c>
      <c r="AF19" s="45">
        <v>36</v>
      </c>
      <c r="AG19" s="49">
        <v>36</v>
      </c>
      <c r="AH19" s="47">
        <f t="shared" si="2"/>
        <v>36</v>
      </c>
      <c r="AI19" s="48">
        <f t="shared" si="3"/>
        <v>32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25.6</v>
      </c>
      <c r="C20" s="45">
        <v>25.6</v>
      </c>
      <c r="D20" s="45">
        <v>15.6</v>
      </c>
      <c r="E20" s="45">
        <v>30</v>
      </c>
      <c r="F20" s="45">
        <v>30</v>
      </c>
      <c r="G20" s="45">
        <v>30</v>
      </c>
      <c r="H20" s="45">
        <v>30</v>
      </c>
      <c r="I20" s="45">
        <v>30</v>
      </c>
      <c r="J20" s="45">
        <v>30</v>
      </c>
      <c r="K20" s="45">
        <v>30</v>
      </c>
      <c r="L20" s="45">
        <v>30</v>
      </c>
      <c r="M20" s="45">
        <v>15.6</v>
      </c>
      <c r="N20" s="45">
        <v>10</v>
      </c>
      <c r="O20" s="45">
        <v>10</v>
      </c>
      <c r="P20" s="45">
        <v>10</v>
      </c>
      <c r="Q20" s="45">
        <v>21.7</v>
      </c>
      <c r="R20" s="45">
        <v>15</v>
      </c>
      <c r="S20" s="45">
        <v>15</v>
      </c>
      <c r="T20" s="45">
        <v>15</v>
      </c>
      <c r="U20" s="45"/>
      <c r="V20" s="45">
        <v>15</v>
      </c>
      <c r="W20" s="45">
        <v>15</v>
      </c>
      <c r="X20" s="45">
        <v>15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10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20.8</v>
      </c>
      <c r="C21" s="45">
        <v>20.8</v>
      </c>
      <c r="D21" s="45">
        <v>20.8</v>
      </c>
      <c r="E21" s="45">
        <v>20.8</v>
      </c>
      <c r="F21" s="45">
        <v>20.8</v>
      </c>
      <c r="G21" s="45">
        <v>24</v>
      </c>
      <c r="H21" s="45">
        <v>24</v>
      </c>
      <c r="I21" s="45">
        <v>27</v>
      </c>
      <c r="J21" s="45">
        <v>27</v>
      </c>
      <c r="K21" s="45">
        <v>27</v>
      </c>
      <c r="L21" s="45">
        <v>27</v>
      </c>
      <c r="M21" s="45">
        <v>31</v>
      </c>
      <c r="N21" s="45">
        <v>24.9</v>
      </c>
      <c r="O21" s="45">
        <v>32.9</v>
      </c>
      <c r="P21" s="45">
        <v>32.9</v>
      </c>
      <c r="Q21" s="45">
        <v>32.9</v>
      </c>
      <c r="R21" s="45">
        <v>29.1</v>
      </c>
      <c r="S21" s="45">
        <v>29.1</v>
      </c>
      <c r="T21" s="45">
        <v>29.1</v>
      </c>
      <c r="U21" s="45" t="s">
        <v>293</v>
      </c>
      <c r="V21" s="45">
        <v>29.1</v>
      </c>
      <c r="W21" s="45">
        <v>29.1</v>
      </c>
      <c r="X21" s="45">
        <v>29.1</v>
      </c>
      <c r="Y21" s="45">
        <v>29.1</v>
      </c>
      <c r="Z21" s="45">
        <v>33.200000000000003</v>
      </c>
      <c r="AA21" s="45">
        <v>33.200000000000003</v>
      </c>
      <c r="AB21" s="45">
        <v>33.200000000000003</v>
      </c>
      <c r="AC21" s="45">
        <v>33.200000000000003</v>
      </c>
      <c r="AD21" s="45">
        <v>20</v>
      </c>
      <c r="AE21" s="45">
        <v>20</v>
      </c>
      <c r="AF21" s="45">
        <v>20</v>
      </c>
      <c r="AG21" s="49">
        <v>24.2</v>
      </c>
      <c r="AH21" s="47">
        <f t="shared" si="2"/>
        <v>33.200000000000003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 t="s">
        <v>294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20</v>
      </c>
      <c r="AE22" s="45">
        <v>20</v>
      </c>
      <c r="AF22" s="45">
        <v>20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13.5</v>
      </c>
      <c r="C23" s="45">
        <v>13.5</v>
      </c>
      <c r="D23" s="45">
        <v>18</v>
      </c>
      <c r="E23" s="45">
        <v>15</v>
      </c>
      <c r="F23" s="45">
        <v>22.5</v>
      </c>
      <c r="G23" s="45">
        <v>27</v>
      </c>
      <c r="H23" s="45">
        <v>27</v>
      </c>
      <c r="I23" s="45">
        <v>27</v>
      </c>
      <c r="J23" s="45">
        <v>27</v>
      </c>
      <c r="K23" s="45">
        <v>27</v>
      </c>
      <c r="L23" s="45">
        <v>27</v>
      </c>
      <c r="M23" s="45">
        <v>13.5</v>
      </c>
      <c r="N23" s="45">
        <v>8</v>
      </c>
      <c r="O23" s="45">
        <v>8</v>
      </c>
      <c r="P23" s="45">
        <v>19</v>
      </c>
      <c r="Q23" s="45">
        <v>19</v>
      </c>
      <c r="R23" s="45">
        <v>13.5</v>
      </c>
      <c r="S23" s="45">
        <v>13.5</v>
      </c>
      <c r="T23" s="45">
        <v>13.5</v>
      </c>
      <c r="U23" s="45" t="s">
        <v>293</v>
      </c>
      <c r="V23" s="45">
        <v>13.5</v>
      </c>
      <c r="W23" s="45">
        <v>13.5</v>
      </c>
      <c r="X23" s="45">
        <v>13.5</v>
      </c>
      <c r="Y23" s="45">
        <v>27</v>
      </c>
      <c r="Z23" s="45">
        <v>27</v>
      </c>
      <c r="AA23" s="45">
        <v>27</v>
      </c>
      <c r="AB23" s="45">
        <v>27</v>
      </c>
      <c r="AC23" s="45">
        <v>20</v>
      </c>
      <c r="AD23" s="45">
        <v>20</v>
      </c>
      <c r="AE23" s="45">
        <v>20</v>
      </c>
      <c r="AF23" s="45">
        <v>5</v>
      </c>
      <c r="AG23" s="51">
        <v>30</v>
      </c>
      <c r="AH23" s="47">
        <f t="shared" si="2"/>
        <v>27</v>
      </c>
      <c r="AI23" s="48">
        <f t="shared" si="3"/>
        <v>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24.4</v>
      </c>
      <c r="C24" s="45">
        <v>24.4</v>
      </c>
      <c r="D24" s="45">
        <v>24.4</v>
      </c>
      <c r="E24" s="45">
        <v>24.4</v>
      </c>
      <c r="F24" s="45">
        <v>26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26.1</v>
      </c>
      <c r="N24" s="45">
        <v>26.1</v>
      </c>
      <c r="O24" s="45">
        <v>26.1</v>
      </c>
      <c r="P24" s="45">
        <v>24.6</v>
      </c>
      <c r="Q24" s="45">
        <v>24.6</v>
      </c>
      <c r="R24" s="45">
        <v>24.5</v>
      </c>
      <c r="S24" s="45">
        <v>24.5</v>
      </c>
      <c r="T24" s="45">
        <v>24.5</v>
      </c>
      <c r="U24" s="45" t="s">
        <v>290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26.1</v>
      </c>
      <c r="AI24" s="48">
        <f t="shared" si="3"/>
        <v>24.4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 t="s">
        <v>295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22</v>
      </c>
      <c r="C26" s="45">
        <v>22</v>
      </c>
      <c r="D26" s="45">
        <v>22</v>
      </c>
      <c r="E26" s="45">
        <v>22</v>
      </c>
      <c r="F26" s="45">
        <v>20</v>
      </c>
      <c r="G26" s="45">
        <v>20</v>
      </c>
      <c r="H26" s="45">
        <v>20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 t="s">
        <v>296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12.5</v>
      </c>
      <c r="C27" s="45">
        <v>12.5</v>
      </c>
      <c r="D27" s="45">
        <v>12.5</v>
      </c>
      <c r="E27" s="45">
        <v>12.5</v>
      </c>
      <c r="F27" s="45">
        <v>25</v>
      </c>
      <c r="G27" s="45">
        <v>25</v>
      </c>
      <c r="H27" s="45">
        <v>25</v>
      </c>
      <c r="I27" s="45">
        <v>25</v>
      </c>
      <c r="J27" s="45">
        <v>25</v>
      </c>
      <c r="K27" s="45">
        <v>25</v>
      </c>
      <c r="L27" s="45">
        <v>25</v>
      </c>
      <c r="M27" s="45">
        <v>12.5</v>
      </c>
      <c r="N27" s="45">
        <v>8</v>
      </c>
      <c r="O27" s="45">
        <v>8</v>
      </c>
      <c r="P27" s="45">
        <v>18</v>
      </c>
      <c r="Q27" s="45">
        <v>18</v>
      </c>
      <c r="R27" s="45">
        <v>12.5</v>
      </c>
      <c r="S27" s="45">
        <v>12.5</v>
      </c>
      <c r="T27" s="45">
        <v>12.5</v>
      </c>
      <c r="U27" s="45"/>
      <c r="V27" s="45">
        <v>12.5</v>
      </c>
      <c r="W27" s="45">
        <v>12.5</v>
      </c>
      <c r="X27" s="45">
        <v>12.5</v>
      </c>
      <c r="Y27" s="45">
        <v>25</v>
      </c>
      <c r="Z27" s="45">
        <v>25</v>
      </c>
      <c r="AA27" s="45">
        <v>25</v>
      </c>
      <c r="AB27" s="45">
        <v>25</v>
      </c>
      <c r="AC27" s="45">
        <v>20</v>
      </c>
      <c r="AD27" s="45">
        <v>20</v>
      </c>
      <c r="AE27" s="45">
        <v>20</v>
      </c>
      <c r="AF27" s="45">
        <v>5</v>
      </c>
      <c r="AG27" s="49">
        <v>25</v>
      </c>
      <c r="AH27" s="47">
        <f t="shared" si="2"/>
        <v>25</v>
      </c>
      <c r="AI27" s="48">
        <f t="shared" si="3"/>
        <v>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24.8</v>
      </c>
      <c r="S28" s="45">
        <v>24.8</v>
      </c>
      <c r="T28" s="45">
        <v>24.8</v>
      </c>
      <c r="U28" s="45" t="s">
        <v>297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 t="s">
        <v>289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 t="s">
        <v>292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 t="s">
        <v>292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 t="s">
        <v>287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10</v>
      </c>
      <c r="E33" s="45">
        <v>10</v>
      </c>
      <c r="F33" s="45">
        <v>10</v>
      </c>
      <c r="G33" s="45">
        <v>6</v>
      </c>
      <c r="H33" s="45">
        <v>6</v>
      </c>
      <c r="I33" s="45">
        <v>6</v>
      </c>
      <c r="J33" s="45">
        <v>6</v>
      </c>
      <c r="K33" s="45">
        <v>6</v>
      </c>
      <c r="L33" s="45">
        <v>6</v>
      </c>
      <c r="M33" s="45">
        <v>10</v>
      </c>
      <c r="N33" s="45">
        <v>10</v>
      </c>
      <c r="O33" s="45">
        <v>10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 t="s">
        <v>286</v>
      </c>
      <c r="V33" s="45">
        <v>5</v>
      </c>
      <c r="W33" s="45">
        <v>5</v>
      </c>
      <c r="X33" s="45">
        <v>5</v>
      </c>
      <c r="Y33" s="45">
        <v>5</v>
      </c>
      <c r="Z33" s="45">
        <v>10</v>
      </c>
      <c r="AA33" s="45">
        <v>15</v>
      </c>
      <c r="AB33" s="45">
        <v>15</v>
      </c>
      <c r="AC33" s="45">
        <v>15</v>
      </c>
      <c r="AD33" s="45">
        <v>15</v>
      </c>
      <c r="AE33" s="45">
        <v>15</v>
      </c>
      <c r="AF33" s="45">
        <v>5</v>
      </c>
      <c r="AG33" s="49">
        <v>20</v>
      </c>
      <c r="AH33" s="47">
        <f t="shared" si="2"/>
        <v>15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4</v>
      </c>
      <c r="E34" s="45">
        <v>4</v>
      </c>
      <c r="F34" s="45">
        <v>4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7</v>
      </c>
      <c r="N34" s="45">
        <v>7</v>
      </c>
      <c r="O34" s="45">
        <v>7</v>
      </c>
      <c r="P34" s="45">
        <v>5</v>
      </c>
      <c r="Q34" s="45">
        <v>5</v>
      </c>
      <c r="R34" s="45">
        <v>5</v>
      </c>
      <c r="S34" s="45">
        <v>5</v>
      </c>
      <c r="T34" s="45">
        <v>5</v>
      </c>
      <c r="U34" s="45" t="s">
        <v>293</v>
      </c>
      <c r="V34" s="45">
        <v>5</v>
      </c>
      <c r="W34" s="45">
        <v>5</v>
      </c>
      <c r="X34" s="45">
        <v>5</v>
      </c>
      <c r="Y34" s="45">
        <v>5</v>
      </c>
      <c r="Z34" s="45">
        <v>9</v>
      </c>
      <c r="AA34" s="45">
        <v>9</v>
      </c>
      <c r="AB34" s="45">
        <v>9</v>
      </c>
      <c r="AC34" s="45">
        <v>5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0</v>
      </c>
      <c r="J35" s="45">
        <v>0</v>
      </c>
      <c r="K35" s="45">
        <v>0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15.4</v>
      </c>
      <c r="S35" s="45">
        <v>15.4</v>
      </c>
      <c r="T35" s="45">
        <v>15.4</v>
      </c>
      <c r="U35" s="45" t="s">
        <v>295</v>
      </c>
      <c r="V35" s="45">
        <v>15.4</v>
      </c>
      <c r="W35" s="45">
        <v>15.4</v>
      </c>
      <c r="X35" s="45">
        <v>15.4</v>
      </c>
      <c r="Y35" s="45">
        <v>15.4</v>
      </c>
      <c r="Z35" s="45">
        <v>15.4</v>
      </c>
      <c r="AA35" s="45">
        <v>15.4</v>
      </c>
      <c r="AB35" s="45">
        <v>15.4</v>
      </c>
      <c r="AC35" s="45">
        <v>15.4</v>
      </c>
      <c r="AD35" s="45">
        <v>15.4</v>
      </c>
      <c r="AE35" s="45">
        <v>15.4</v>
      </c>
      <c r="AF35" s="45">
        <v>15.4</v>
      </c>
      <c r="AG35" s="49">
        <v>14.9</v>
      </c>
      <c r="AH35" s="47">
        <f t="shared" si="2"/>
        <v>15.4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/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/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/>
      <c r="V38" s="45">
        <v>11</v>
      </c>
      <c r="W38" s="45">
        <v>11</v>
      </c>
      <c r="X38" s="45">
        <v>11</v>
      </c>
      <c r="Y38" s="45">
        <v>11</v>
      </c>
      <c r="Z38" s="45">
        <v>11</v>
      </c>
      <c r="AA38" s="45">
        <v>11</v>
      </c>
      <c r="AB38" s="45">
        <v>11</v>
      </c>
      <c r="AC38" s="45">
        <v>11</v>
      </c>
      <c r="AD38" s="45">
        <v>11</v>
      </c>
      <c r="AE38" s="45">
        <v>11</v>
      </c>
      <c r="AF38" s="45">
        <v>11</v>
      </c>
      <c r="AG38" s="49">
        <v>13</v>
      </c>
      <c r="AH38" s="47">
        <f t="shared" si="2"/>
        <v>11</v>
      </c>
      <c r="AI38" s="48">
        <f t="shared" si="3"/>
        <v>11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6</v>
      </c>
      <c r="M39" s="45">
        <v>6</v>
      </c>
      <c r="N39" s="45">
        <v>3.6</v>
      </c>
      <c r="O39" s="45">
        <v>3.6</v>
      </c>
      <c r="P39" s="45">
        <v>6</v>
      </c>
      <c r="Q39" s="45">
        <v>8.4</v>
      </c>
      <c r="R39" s="45">
        <v>8.4</v>
      </c>
      <c r="S39" s="45">
        <v>8.4</v>
      </c>
      <c r="T39" s="45">
        <v>8.4</v>
      </c>
      <c r="U39" s="45"/>
      <c r="V39" s="45">
        <v>8.4</v>
      </c>
      <c r="W39" s="45">
        <v>8.4</v>
      </c>
      <c r="X39" s="45">
        <v>8.4</v>
      </c>
      <c r="Y39" s="45">
        <v>8.4</v>
      </c>
      <c r="Z39" s="45">
        <v>12</v>
      </c>
      <c r="AA39" s="45">
        <v>12</v>
      </c>
      <c r="AB39" s="45">
        <v>12</v>
      </c>
      <c r="AC39" s="45">
        <v>10</v>
      </c>
      <c r="AD39" s="45">
        <v>10</v>
      </c>
      <c r="AE39" s="45">
        <v>10</v>
      </c>
      <c r="AF39" s="45">
        <v>3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/>
      <c r="V40" s="45">
        <v>4</v>
      </c>
      <c r="W40" s="45">
        <v>4</v>
      </c>
      <c r="X40" s="45">
        <v>4</v>
      </c>
      <c r="Y40" s="45">
        <v>4</v>
      </c>
      <c r="Z40" s="45">
        <v>4</v>
      </c>
      <c r="AA40" s="45">
        <v>4</v>
      </c>
      <c r="AB40" s="45">
        <v>4</v>
      </c>
      <c r="AC40" s="45">
        <v>4</v>
      </c>
      <c r="AD40" s="45">
        <v>4</v>
      </c>
      <c r="AE40" s="45">
        <v>4</v>
      </c>
      <c r="AF40" s="45">
        <v>4</v>
      </c>
      <c r="AG40" s="49">
        <v>12</v>
      </c>
      <c r="AH40" s="47">
        <f t="shared" si="2"/>
        <v>4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/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/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/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/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/>
      <c r="V45" s="45">
        <v>5</v>
      </c>
      <c r="W45" s="45">
        <v>5</v>
      </c>
      <c r="X45" s="45">
        <v>5</v>
      </c>
      <c r="Y45" s="45">
        <v>5</v>
      </c>
      <c r="Z45" s="45">
        <v>5</v>
      </c>
      <c r="AA45" s="45">
        <v>5</v>
      </c>
      <c r="AB45" s="45">
        <v>5</v>
      </c>
      <c r="AC45" s="45">
        <v>5</v>
      </c>
      <c r="AD45" s="45">
        <v>5</v>
      </c>
      <c r="AE45" s="45">
        <v>5</v>
      </c>
      <c r="AF45" s="45">
        <v>5</v>
      </c>
      <c r="AG45" s="54">
        <v>10</v>
      </c>
      <c r="AH45" s="47">
        <f t="shared" si="2"/>
        <v>8</v>
      </c>
      <c r="AI45" s="48">
        <f t="shared" si="3"/>
        <v>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/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/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410</v>
      </c>
      <c r="C48" s="56">
        <v>410</v>
      </c>
      <c r="D48" s="56">
        <v>410</v>
      </c>
      <c r="E48" s="56">
        <v>410</v>
      </c>
      <c r="F48" s="56">
        <v>410</v>
      </c>
      <c r="G48" s="56">
        <v>410</v>
      </c>
      <c r="H48" s="56">
        <v>410</v>
      </c>
      <c r="I48" s="56">
        <v>410</v>
      </c>
      <c r="J48" s="56">
        <v>410</v>
      </c>
      <c r="K48" s="56">
        <v>410</v>
      </c>
      <c r="L48" s="56">
        <v>410</v>
      </c>
      <c r="M48" s="56">
        <v>410</v>
      </c>
      <c r="N48" s="56">
        <v>410</v>
      </c>
      <c r="O48" s="56">
        <v>410</v>
      </c>
      <c r="P48" s="56">
        <v>410</v>
      </c>
      <c r="Q48" s="56">
        <v>410</v>
      </c>
      <c r="R48" s="56">
        <v>410</v>
      </c>
      <c r="S48" s="56">
        <v>410</v>
      </c>
      <c r="T48" s="56">
        <v>410</v>
      </c>
      <c r="U48" s="56"/>
      <c r="V48" s="56">
        <v>410</v>
      </c>
      <c r="W48" s="56">
        <v>410</v>
      </c>
      <c r="X48" s="56">
        <v>410</v>
      </c>
      <c r="Y48" s="56">
        <v>310</v>
      </c>
      <c r="Z48" s="56">
        <v>380</v>
      </c>
      <c r="AA48" s="56">
        <v>380</v>
      </c>
      <c r="AB48" s="56">
        <v>380</v>
      </c>
      <c r="AC48" s="56">
        <v>380</v>
      </c>
      <c r="AD48" s="56">
        <v>380</v>
      </c>
      <c r="AE48" s="56">
        <v>380</v>
      </c>
      <c r="AF48" s="56">
        <v>380</v>
      </c>
      <c r="AG48" s="54">
        <v>85</v>
      </c>
      <c r="AH48" s="47">
        <f t="shared" si="2"/>
        <v>410</v>
      </c>
      <c r="AI48" s="48">
        <f t="shared" si="3"/>
        <v>310</v>
      </c>
      <c r="AK48" s="50"/>
    </row>
    <row r="49" spans="1:41" ht="15.75" thickBot="1" x14ac:dyDescent="0.3">
      <c r="A49" s="57" t="s">
        <v>57</v>
      </c>
      <c r="B49" s="56">
        <v>129.9</v>
      </c>
      <c r="C49" s="56">
        <v>130</v>
      </c>
      <c r="D49" s="56">
        <v>130</v>
      </c>
      <c r="E49" s="56">
        <v>130</v>
      </c>
      <c r="F49" s="56">
        <v>130</v>
      </c>
      <c r="G49" s="56">
        <v>129</v>
      </c>
      <c r="H49" s="56">
        <v>129</v>
      </c>
      <c r="I49" s="56">
        <v>127</v>
      </c>
      <c r="J49" s="56">
        <v>127</v>
      </c>
      <c r="K49" s="56">
        <v>127</v>
      </c>
      <c r="L49" s="56">
        <v>127</v>
      </c>
      <c r="M49" s="58">
        <f>92.1+35.5</f>
        <v>127.6</v>
      </c>
      <c r="N49" s="58">
        <f>92.8+36.3</f>
        <v>129.1</v>
      </c>
      <c r="O49" s="58">
        <f>93.4+36.5</f>
        <v>129.9</v>
      </c>
      <c r="P49" s="58">
        <f>93.3+36.8</f>
        <v>130.1</v>
      </c>
      <c r="Q49" s="58">
        <f>93.4+36.7</f>
        <v>130.10000000000002</v>
      </c>
      <c r="R49" s="58">
        <f>30.9+73</f>
        <v>103.9</v>
      </c>
      <c r="S49" s="58">
        <v>113.2</v>
      </c>
      <c r="T49" s="58">
        <v>116</v>
      </c>
      <c r="U49" s="58"/>
      <c r="V49" s="58">
        <v>116</v>
      </c>
      <c r="W49" s="58">
        <v>116</v>
      </c>
      <c r="X49" s="58">
        <v>116</v>
      </c>
      <c r="Y49" s="58">
        <v>116</v>
      </c>
      <c r="Z49" s="58">
        <v>100</v>
      </c>
      <c r="AA49" s="58">
        <v>111.7</v>
      </c>
      <c r="AB49" s="58">
        <v>111.7</v>
      </c>
      <c r="AC49" s="58">
        <v>111.7</v>
      </c>
      <c r="AD49" s="58">
        <v>111.7</v>
      </c>
      <c r="AE49" s="58">
        <v>111.7</v>
      </c>
      <c r="AF49" s="58">
        <v>111.7</v>
      </c>
      <c r="AG49" s="54">
        <v>240</v>
      </c>
      <c r="AH49" s="47">
        <f t="shared" si="2"/>
        <v>130.10000000000002</v>
      </c>
      <c r="AI49" s="48">
        <f t="shared" si="3"/>
        <v>100</v>
      </c>
      <c r="AK49" s="50"/>
    </row>
    <row r="50" spans="1:41" ht="15.75" thickBot="1" x14ac:dyDescent="0.3">
      <c r="A50" s="59" t="s">
        <v>58</v>
      </c>
      <c r="B50" s="60">
        <f>SUM(B11:B48)</f>
        <v>1142</v>
      </c>
      <c r="C50" s="60">
        <f t="shared" ref="C50:AC50" si="4">SUM(C11:C48)</f>
        <v>1142</v>
      </c>
      <c r="D50" s="60">
        <f t="shared" ref="D50" si="5">SUM(D11:D48)</f>
        <v>1146.5</v>
      </c>
      <c r="E50" s="60">
        <f t="shared" si="4"/>
        <v>1160.9000000000001</v>
      </c>
      <c r="F50" s="60">
        <f t="shared" si="4"/>
        <v>1167.8000000000002</v>
      </c>
      <c r="G50" s="60">
        <f t="shared" si="4"/>
        <v>1166</v>
      </c>
      <c r="H50" s="60">
        <f t="shared" si="4"/>
        <v>1173</v>
      </c>
      <c r="I50" s="60">
        <f t="shared" si="4"/>
        <v>1172.5999999999999</v>
      </c>
      <c r="J50" s="60">
        <f t="shared" si="4"/>
        <v>1172.5999999999999</v>
      </c>
      <c r="K50" s="60">
        <f t="shared" si="4"/>
        <v>1172.5999999999999</v>
      </c>
      <c r="L50" s="60">
        <f t="shared" si="4"/>
        <v>1194</v>
      </c>
      <c r="M50" s="60">
        <f t="shared" si="4"/>
        <v>1132.6000000000001</v>
      </c>
      <c r="N50" s="60">
        <f t="shared" si="4"/>
        <v>1147.4000000000001</v>
      </c>
      <c r="O50" s="60">
        <f t="shared" si="4"/>
        <v>1155.4000000000001</v>
      </c>
      <c r="P50" s="60">
        <f t="shared" si="4"/>
        <v>1170.4000000000001</v>
      </c>
      <c r="Q50" s="60">
        <f t="shared" si="4"/>
        <v>1183</v>
      </c>
      <c r="R50" s="60">
        <f t="shared" si="4"/>
        <v>1174.4000000000001</v>
      </c>
      <c r="S50" s="60">
        <f t="shared" si="4"/>
        <v>1174.4000000000001</v>
      </c>
      <c r="T50" s="60">
        <f t="shared" si="4"/>
        <v>1174.4000000000001</v>
      </c>
      <c r="U50" s="60">
        <f t="shared" si="4"/>
        <v>0</v>
      </c>
      <c r="V50" s="60">
        <f t="shared" si="4"/>
        <v>1171.4000000000001</v>
      </c>
      <c r="W50" s="60">
        <f t="shared" si="4"/>
        <v>1171.4000000000001</v>
      </c>
      <c r="X50" s="60">
        <f t="shared" si="4"/>
        <v>1171.4000000000001</v>
      </c>
      <c r="Y50" s="60">
        <f t="shared" si="4"/>
        <v>1112.4000000000001</v>
      </c>
      <c r="Z50" s="60">
        <f t="shared" si="4"/>
        <v>1206.0999999999999</v>
      </c>
      <c r="AA50" s="60">
        <f t="shared" si="4"/>
        <v>1211.0999999999999</v>
      </c>
      <c r="AB50" s="60">
        <f t="shared" ref="AB50" si="6">SUM(AB11:AB48)</f>
        <v>1211.0999999999999</v>
      </c>
      <c r="AC50" s="60">
        <f t="shared" si="4"/>
        <v>1187.0999999999999</v>
      </c>
      <c r="AD50" s="60">
        <f t="shared" ref="AD50:AE50" si="7">SUM(AD11:AD48)</f>
        <v>1165.3000000000002</v>
      </c>
      <c r="AE50" s="60">
        <f t="shared" si="7"/>
        <v>1165.3000000000002</v>
      </c>
      <c r="AF50" s="60">
        <f t="shared" ref="AF50" si="8">SUM(AF11:AF48)</f>
        <v>1092.5</v>
      </c>
      <c r="AG50" s="61">
        <f>SUM(AG13:AG48)</f>
        <v>922.14</v>
      </c>
      <c r="AH50" s="47">
        <f t="shared" si="2"/>
        <v>1211.0999999999999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/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/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50</v>
      </c>
      <c r="AE52" s="64">
        <v>50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22.1</v>
      </c>
      <c r="C53" s="66">
        <v>22.1</v>
      </c>
      <c r="D53" s="66">
        <v>22.1</v>
      </c>
      <c r="E53" s="66">
        <v>22.1</v>
      </c>
      <c r="F53" s="66">
        <v>22.1</v>
      </c>
      <c r="G53" s="66">
        <v>22.1</v>
      </c>
      <c r="H53" s="66">
        <v>22.1</v>
      </c>
      <c r="I53" s="66">
        <v>22.1</v>
      </c>
      <c r="J53" s="66">
        <v>22.1</v>
      </c>
      <c r="K53" s="66">
        <v>22.1</v>
      </c>
      <c r="L53" s="66">
        <v>22.1</v>
      </c>
      <c r="M53" s="66">
        <v>22.1</v>
      </c>
      <c r="N53" s="66">
        <v>22.1</v>
      </c>
      <c r="O53" s="66">
        <v>22.1</v>
      </c>
      <c r="P53" s="66">
        <v>22.1</v>
      </c>
      <c r="Q53" s="66">
        <v>22.1</v>
      </c>
      <c r="R53" s="66">
        <v>22</v>
      </c>
      <c r="S53" s="66">
        <v>22</v>
      </c>
      <c r="T53" s="66">
        <v>22</v>
      </c>
      <c r="U53" s="66"/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22.1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9">SUM(B51:B53)</f>
        <v>538.1</v>
      </c>
      <c r="C54" s="60">
        <f t="shared" si="9"/>
        <v>538.1</v>
      </c>
      <c r="D54" s="60">
        <f t="shared" ref="D54" si="10">SUM(D51:D53)</f>
        <v>538.1</v>
      </c>
      <c r="E54" s="60">
        <f t="shared" si="9"/>
        <v>538.1</v>
      </c>
      <c r="F54" s="60">
        <f t="shared" si="9"/>
        <v>538.1</v>
      </c>
      <c r="G54" s="60">
        <f t="shared" si="9"/>
        <v>538.1</v>
      </c>
      <c r="H54" s="60">
        <f t="shared" si="9"/>
        <v>538.1</v>
      </c>
      <c r="I54" s="60">
        <f t="shared" si="9"/>
        <v>538.1</v>
      </c>
      <c r="J54" s="60">
        <f t="shared" si="9"/>
        <v>538.1</v>
      </c>
      <c r="K54" s="60">
        <f t="shared" si="9"/>
        <v>538.1</v>
      </c>
      <c r="L54" s="60">
        <f t="shared" si="9"/>
        <v>538.1</v>
      </c>
      <c r="M54" s="60">
        <f t="shared" si="9"/>
        <v>538.1</v>
      </c>
      <c r="N54" s="60">
        <f t="shared" si="9"/>
        <v>538.1</v>
      </c>
      <c r="O54" s="60">
        <f t="shared" si="9"/>
        <v>538.1</v>
      </c>
      <c r="P54" s="60">
        <f t="shared" si="9"/>
        <v>538.1</v>
      </c>
      <c r="Q54" s="60">
        <f t="shared" si="9"/>
        <v>538.1</v>
      </c>
      <c r="R54" s="60">
        <f t="shared" si="9"/>
        <v>538</v>
      </c>
      <c r="S54" s="60">
        <f t="shared" si="9"/>
        <v>538</v>
      </c>
      <c r="T54" s="60">
        <f t="shared" si="9"/>
        <v>538</v>
      </c>
      <c r="U54" s="60">
        <f t="shared" si="9"/>
        <v>0</v>
      </c>
      <c r="V54" s="60">
        <f t="shared" si="9"/>
        <v>538</v>
      </c>
      <c r="W54" s="60">
        <f t="shared" si="9"/>
        <v>538</v>
      </c>
      <c r="X54" s="60">
        <f t="shared" si="9"/>
        <v>538</v>
      </c>
      <c r="Y54" s="60">
        <f t="shared" si="9"/>
        <v>538</v>
      </c>
      <c r="Z54" s="60">
        <f t="shared" si="9"/>
        <v>538</v>
      </c>
      <c r="AA54" s="60">
        <f t="shared" si="9"/>
        <v>538</v>
      </c>
      <c r="AB54" s="60">
        <f t="shared" ref="AB54" si="11">SUM(AB51:AB53)</f>
        <v>538</v>
      </c>
      <c r="AC54" s="60">
        <f t="shared" si="9"/>
        <v>538</v>
      </c>
      <c r="AD54" s="60">
        <f t="shared" ref="AD54:AE54" si="12">SUM(AD51:AD53)</f>
        <v>528</v>
      </c>
      <c r="AE54" s="60">
        <f t="shared" si="12"/>
        <v>528</v>
      </c>
      <c r="AF54" s="60">
        <f t="shared" ref="AF54" si="13">SUM(AF51:AF53)</f>
        <v>528</v>
      </c>
      <c r="AG54" s="61">
        <f t="shared" si="9"/>
        <v>538.1</v>
      </c>
      <c r="AH54" s="47">
        <f t="shared" si="2"/>
        <v>538.1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144</v>
      </c>
      <c r="E55" s="45">
        <v>144</v>
      </c>
      <c r="F55" s="45">
        <v>146</v>
      </c>
      <c r="G55" s="45">
        <v>145.5</v>
      </c>
      <c r="H55" s="45">
        <v>145.5</v>
      </c>
      <c r="I55" s="45">
        <v>145.19999999999999</v>
      </c>
      <c r="J55" s="45">
        <v>145.19999999999999</v>
      </c>
      <c r="K55" s="45">
        <v>145.19999999999999</v>
      </c>
      <c r="L55" s="45">
        <v>145.19999999999999</v>
      </c>
      <c r="M55" s="45">
        <v>144.1</v>
      </c>
      <c r="N55" s="45">
        <v>144.1</v>
      </c>
      <c r="O55" s="45">
        <v>145.9</v>
      </c>
      <c r="P55" s="45">
        <v>145.69999999999999</v>
      </c>
      <c r="Q55" s="45">
        <v>145.5</v>
      </c>
      <c r="R55" s="45">
        <v>145.5</v>
      </c>
      <c r="S55" s="45">
        <v>145.5</v>
      </c>
      <c r="T55" s="45">
        <v>145.5</v>
      </c>
      <c r="U55" s="45"/>
      <c r="V55" s="45">
        <v>98</v>
      </c>
      <c r="W55" s="45">
        <v>98</v>
      </c>
      <c r="X55" s="45">
        <v>145.5</v>
      </c>
      <c r="Y55" s="45">
        <v>145.5</v>
      </c>
      <c r="Z55" s="45">
        <v>145.5</v>
      </c>
      <c r="AA55" s="45">
        <v>145.5</v>
      </c>
      <c r="AB55" s="45">
        <v>145.5</v>
      </c>
      <c r="AC55" s="45">
        <v>145.5</v>
      </c>
      <c r="AD55" s="45">
        <v>145.5</v>
      </c>
      <c r="AE55" s="45">
        <v>145.5</v>
      </c>
      <c r="AF55" s="45">
        <v>145.5</v>
      </c>
      <c r="AG55" s="51">
        <v>144</v>
      </c>
      <c r="AH55" s="47">
        <f t="shared" si="2"/>
        <v>146</v>
      </c>
      <c r="AI55" s="48">
        <f t="shared" si="3"/>
        <v>98</v>
      </c>
      <c r="AK55" s="50"/>
    </row>
    <row r="56" spans="1:41" x14ac:dyDescent="0.25">
      <c r="A56" s="53" t="s">
        <v>64</v>
      </c>
      <c r="B56" s="64">
        <v>69.599999999999994</v>
      </c>
      <c r="C56" s="64">
        <v>69.599999999999994</v>
      </c>
      <c r="D56" s="64">
        <v>69.599999999999994</v>
      </c>
      <c r="E56" s="64">
        <v>70.400000000000006</v>
      </c>
      <c r="F56" s="64">
        <v>71</v>
      </c>
      <c r="G56" s="64">
        <v>71</v>
      </c>
      <c r="H56" s="64">
        <v>71</v>
      </c>
      <c r="I56" s="64">
        <v>70</v>
      </c>
      <c r="J56" s="64">
        <v>70</v>
      </c>
      <c r="K56" s="64">
        <v>70</v>
      </c>
      <c r="L56" s="64">
        <v>70</v>
      </c>
      <c r="M56" s="64">
        <v>69</v>
      </c>
      <c r="N56" s="64">
        <v>69.599999999999994</v>
      </c>
      <c r="O56" s="64">
        <v>47.9</v>
      </c>
      <c r="P56" s="64">
        <v>0</v>
      </c>
      <c r="Q56" s="64">
        <v>0</v>
      </c>
      <c r="R56" s="64">
        <v>0</v>
      </c>
      <c r="S56" s="64">
        <v>0</v>
      </c>
      <c r="T56" s="64">
        <v>0</v>
      </c>
      <c r="U56" s="64"/>
      <c r="V56" s="64">
        <v>0</v>
      </c>
      <c r="W56" s="64">
        <v>0</v>
      </c>
      <c r="X56" s="64">
        <v>0</v>
      </c>
      <c r="Y56" s="64">
        <v>0</v>
      </c>
      <c r="Z56" s="64">
        <v>68</v>
      </c>
      <c r="AA56" s="64">
        <v>68</v>
      </c>
      <c r="AB56" s="64">
        <v>68</v>
      </c>
      <c r="AC56" s="64">
        <v>68</v>
      </c>
      <c r="AD56" s="64">
        <v>68</v>
      </c>
      <c r="AE56" s="64">
        <v>68</v>
      </c>
      <c r="AF56" s="64">
        <v>68</v>
      </c>
      <c r="AG56" s="54">
        <v>70</v>
      </c>
      <c r="AH56" s="47">
        <f t="shared" si="2"/>
        <v>71</v>
      </c>
      <c r="AI56" s="48">
        <f t="shared" si="3"/>
        <v>0</v>
      </c>
      <c r="AK56" s="50"/>
    </row>
    <row r="57" spans="1:41" x14ac:dyDescent="0.25">
      <c r="A57" s="53" t="s">
        <v>65</v>
      </c>
      <c r="B57" s="64">
        <v>66.099999999999994</v>
      </c>
      <c r="C57" s="64">
        <v>66.099999999999994</v>
      </c>
      <c r="D57" s="64">
        <v>66.099999999999994</v>
      </c>
      <c r="E57" s="64">
        <v>65.900000000000006</v>
      </c>
      <c r="F57" s="64">
        <v>0</v>
      </c>
      <c r="G57" s="64">
        <v>0</v>
      </c>
      <c r="H57" s="64">
        <v>0</v>
      </c>
      <c r="I57" s="64">
        <v>0</v>
      </c>
      <c r="J57" s="64">
        <v>0</v>
      </c>
      <c r="K57" s="64">
        <v>0</v>
      </c>
      <c r="L57" s="64">
        <v>0</v>
      </c>
      <c r="M57" s="64">
        <v>66.099999999999994</v>
      </c>
      <c r="N57" s="64">
        <v>66.099999999999994</v>
      </c>
      <c r="O57" s="64">
        <v>65.3</v>
      </c>
      <c r="P57" s="64">
        <v>65.3</v>
      </c>
      <c r="Q57" s="64">
        <v>65.2</v>
      </c>
      <c r="R57" s="64">
        <v>65.099999999999994</v>
      </c>
      <c r="S57" s="64">
        <v>65.099999999999994</v>
      </c>
      <c r="T57" s="64">
        <v>65.099999999999994</v>
      </c>
      <c r="U57" s="64"/>
      <c r="V57" s="64">
        <v>65.099999999999994</v>
      </c>
      <c r="W57" s="64">
        <v>65.099999999999994</v>
      </c>
      <c r="X57" s="64">
        <v>65.099999999999994</v>
      </c>
      <c r="Y57" s="64">
        <v>65.099999999999994</v>
      </c>
      <c r="Z57" s="64">
        <v>65.099999999999994</v>
      </c>
      <c r="AA57" s="64">
        <v>65.099999999999994</v>
      </c>
      <c r="AB57" s="64">
        <v>65.099999999999994</v>
      </c>
      <c r="AC57" s="64">
        <v>65.099999999999994</v>
      </c>
      <c r="AD57" s="64">
        <v>65.099999999999994</v>
      </c>
      <c r="AE57" s="64">
        <v>65.099999999999994</v>
      </c>
      <c r="AF57" s="64">
        <v>65.099999999999994</v>
      </c>
      <c r="AG57" s="54">
        <v>69</v>
      </c>
      <c r="AH57" s="47">
        <f t="shared" si="2"/>
        <v>66.099999999999994</v>
      </c>
      <c r="AI57" s="48">
        <f t="shared" si="3"/>
        <v>0</v>
      </c>
      <c r="AK57" s="50"/>
    </row>
    <row r="58" spans="1:41" x14ac:dyDescent="0.25">
      <c r="A58" s="53" t="s">
        <v>66</v>
      </c>
      <c r="B58" s="64">
        <v>60.2</v>
      </c>
      <c r="C58" s="64">
        <v>60.2</v>
      </c>
      <c r="D58" s="64">
        <v>60.2</v>
      </c>
      <c r="E58" s="64">
        <v>60.9</v>
      </c>
      <c r="F58" s="56">
        <v>60.9</v>
      </c>
      <c r="G58" s="56">
        <v>60.9</v>
      </c>
      <c r="H58" s="56">
        <v>60.9</v>
      </c>
      <c r="I58" s="56">
        <v>60.9</v>
      </c>
      <c r="J58" s="56">
        <v>60.9</v>
      </c>
      <c r="K58" s="56">
        <v>60.9</v>
      </c>
      <c r="L58" s="56">
        <v>60.9</v>
      </c>
      <c r="M58" s="64">
        <v>60.2</v>
      </c>
      <c r="N58" s="64">
        <v>60.2</v>
      </c>
      <c r="O58" s="64">
        <v>60.9</v>
      </c>
      <c r="P58" s="64">
        <v>61.2</v>
      </c>
      <c r="Q58" s="64">
        <v>61.2</v>
      </c>
      <c r="R58" s="64">
        <v>61.4</v>
      </c>
      <c r="S58" s="64">
        <v>61.4</v>
      </c>
      <c r="T58" s="64">
        <v>61.4</v>
      </c>
      <c r="U58" s="64"/>
      <c r="V58" s="64">
        <v>61.4</v>
      </c>
      <c r="W58" s="64">
        <v>61.4</v>
      </c>
      <c r="X58" s="64">
        <v>61.4</v>
      </c>
      <c r="Y58" s="64">
        <v>61.4</v>
      </c>
      <c r="Z58" s="64">
        <v>61.4</v>
      </c>
      <c r="AA58" s="64">
        <v>61.4</v>
      </c>
      <c r="AB58" s="64">
        <v>61.4</v>
      </c>
      <c r="AC58" s="64">
        <v>61.4</v>
      </c>
      <c r="AD58" s="64">
        <v>61.4</v>
      </c>
      <c r="AE58" s="64">
        <v>61.4</v>
      </c>
      <c r="AF58" s="64">
        <v>61.4</v>
      </c>
      <c r="AG58" s="54">
        <v>60</v>
      </c>
      <c r="AH58" s="47">
        <f t="shared" si="2"/>
        <v>61.4</v>
      </c>
      <c r="AI58" s="48">
        <f t="shared" si="3"/>
        <v>60.2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/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64">
        <v>25</v>
      </c>
      <c r="AC59" s="64">
        <v>25</v>
      </c>
      <c r="AD59" s="64">
        <v>25</v>
      </c>
      <c r="AE59" s="64">
        <v>25</v>
      </c>
      <c r="AF59" s="64">
        <v>25</v>
      </c>
      <c r="AG59" s="54">
        <v>30</v>
      </c>
      <c r="AH59" s="47">
        <f t="shared" si="2"/>
        <v>29</v>
      </c>
      <c r="AI59" s="48">
        <f t="shared" si="3"/>
        <v>25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10.1</v>
      </c>
      <c r="N60" s="64">
        <v>11</v>
      </c>
      <c r="O60" s="64">
        <v>17.2</v>
      </c>
      <c r="P60" s="64">
        <v>17.2</v>
      </c>
      <c r="Q60" s="64">
        <v>18.399999999999999</v>
      </c>
      <c r="R60" s="64">
        <v>17.899999999999999</v>
      </c>
      <c r="S60" s="64">
        <v>15</v>
      </c>
      <c r="T60" s="64">
        <v>12.1</v>
      </c>
      <c r="U60" s="64"/>
      <c r="V60" s="64">
        <v>12.1</v>
      </c>
      <c r="W60" s="64">
        <v>0.4</v>
      </c>
      <c r="X60" s="64">
        <v>0.4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18.399999999999999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12</v>
      </c>
      <c r="Q61" s="64">
        <v>12</v>
      </c>
      <c r="R61" s="64">
        <v>12</v>
      </c>
      <c r="S61" s="64">
        <v>12</v>
      </c>
      <c r="T61" s="64">
        <v>12</v>
      </c>
      <c r="U61" s="64"/>
      <c r="V61" s="64">
        <v>12</v>
      </c>
      <c r="W61" s="64">
        <v>12</v>
      </c>
      <c r="X61" s="64">
        <v>12</v>
      </c>
      <c r="Y61" s="64">
        <v>12</v>
      </c>
      <c r="Z61" s="64">
        <v>12</v>
      </c>
      <c r="AA61" s="64">
        <v>12</v>
      </c>
      <c r="AB61" s="64">
        <v>12</v>
      </c>
      <c r="AC61" s="64">
        <v>12</v>
      </c>
      <c r="AD61" s="64">
        <v>12</v>
      </c>
      <c r="AE61" s="64">
        <v>12</v>
      </c>
      <c r="AF61" s="64">
        <v>12</v>
      </c>
      <c r="AG61" s="54">
        <v>24</v>
      </c>
      <c r="AH61" s="47">
        <f t="shared" si="2"/>
        <v>15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/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10.5</v>
      </c>
      <c r="C63" s="64">
        <v>10.5</v>
      </c>
      <c r="D63" s="64">
        <v>10.5</v>
      </c>
      <c r="E63" s="64">
        <v>10.5</v>
      </c>
      <c r="F63" s="64">
        <v>10.5</v>
      </c>
      <c r="G63" s="64">
        <v>10.5</v>
      </c>
      <c r="H63" s="64">
        <v>10.5</v>
      </c>
      <c r="I63" s="64">
        <v>10.5</v>
      </c>
      <c r="J63" s="64">
        <v>10.5</v>
      </c>
      <c r="K63" s="64">
        <v>10.5</v>
      </c>
      <c r="L63" s="64">
        <v>10.5</v>
      </c>
      <c r="M63" s="64">
        <v>10.3</v>
      </c>
      <c r="N63" s="64">
        <v>10.3</v>
      </c>
      <c r="O63" s="64">
        <v>10.8</v>
      </c>
      <c r="P63" s="64">
        <v>12.3</v>
      </c>
      <c r="Q63" s="64">
        <v>10.5</v>
      </c>
      <c r="R63" s="64">
        <v>12.1</v>
      </c>
      <c r="S63" s="64">
        <v>12.1</v>
      </c>
      <c r="T63" s="64">
        <v>12.1</v>
      </c>
      <c r="U63" s="64"/>
      <c r="V63" s="64">
        <v>12.1</v>
      </c>
      <c r="W63" s="64">
        <v>12.1</v>
      </c>
      <c r="X63" s="64">
        <v>12.1</v>
      </c>
      <c r="Y63" s="64">
        <v>12.1</v>
      </c>
      <c r="Z63" s="64">
        <v>12.1</v>
      </c>
      <c r="AA63" s="64">
        <v>12.1</v>
      </c>
      <c r="AB63" s="64">
        <v>12.1</v>
      </c>
      <c r="AC63" s="64">
        <v>12.1</v>
      </c>
      <c r="AD63" s="64">
        <v>12.1</v>
      </c>
      <c r="AE63" s="64">
        <v>12.1</v>
      </c>
      <c r="AF63" s="64">
        <v>12.1</v>
      </c>
      <c r="AG63" s="54">
        <v>14.1</v>
      </c>
      <c r="AH63" s="47">
        <f t="shared" si="2"/>
        <v>12.3</v>
      </c>
      <c r="AI63" s="48">
        <f t="shared" si="3"/>
        <v>10.3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13.4</v>
      </c>
      <c r="C64" s="64">
        <v>3.4</v>
      </c>
      <c r="D64" s="64">
        <v>0</v>
      </c>
      <c r="E64" s="64">
        <v>0</v>
      </c>
      <c r="F64" s="64">
        <v>0</v>
      </c>
      <c r="G64" s="64">
        <v>14</v>
      </c>
      <c r="H64" s="64">
        <v>11.2</v>
      </c>
      <c r="I64" s="64">
        <v>12.9</v>
      </c>
      <c r="J64" s="64">
        <v>12.9</v>
      </c>
      <c r="K64" s="64">
        <v>12.9</v>
      </c>
      <c r="L64" s="64">
        <v>12.9</v>
      </c>
      <c r="M64" s="64">
        <v>3.1</v>
      </c>
      <c r="N64" s="64">
        <v>13.9</v>
      </c>
      <c r="O64" s="64">
        <v>13.9</v>
      </c>
      <c r="P64" s="64">
        <v>13.9</v>
      </c>
      <c r="Q64" s="64">
        <v>6.8</v>
      </c>
      <c r="R64" s="64">
        <v>6.9</v>
      </c>
      <c r="S64" s="64">
        <v>6.9</v>
      </c>
      <c r="T64" s="64">
        <v>6.9</v>
      </c>
      <c r="U64" s="64"/>
      <c r="V64" s="64">
        <v>6.9</v>
      </c>
      <c r="W64" s="64">
        <v>6.9</v>
      </c>
      <c r="X64" s="64">
        <v>6.9</v>
      </c>
      <c r="Y64" s="64">
        <v>6.9</v>
      </c>
      <c r="Z64" s="64">
        <v>7.1</v>
      </c>
      <c r="AA64" s="64">
        <v>7.1</v>
      </c>
      <c r="AB64" s="64">
        <v>7.1</v>
      </c>
      <c r="AC64" s="64">
        <v>7.1</v>
      </c>
      <c r="AD64" s="64">
        <v>7.1</v>
      </c>
      <c r="AE64" s="64">
        <v>7.1</v>
      </c>
      <c r="AF64" s="64">
        <v>7.1</v>
      </c>
      <c r="AG64" s="54">
        <v>14</v>
      </c>
      <c r="AH64" s="47">
        <f t="shared" si="2"/>
        <v>14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/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/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4">SUM(B55:B67)</f>
        <v>431.93999999999994</v>
      </c>
      <c r="C68" s="60">
        <f t="shared" si="14"/>
        <v>421.93999999999994</v>
      </c>
      <c r="D68" s="60">
        <f t="shared" si="14"/>
        <v>418.53999999999996</v>
      </c>
      <c r="E68" s="60">
        <f t="shared" si="14"/>
        <v>419.84</v>
      </c>
      <c r="F68" s="60">
        <f t="shared" si="14"/>
        <v>356.53999999999996</v>
      </c>
      <c r="G68" s="60">
        <f t="shared" si="14"/>
        <v>370.03999999999996</v>
      </c>
      <c r="H68" s="60">
        <f t="shared" si="14"/>
        <v>367.23999999999995</v>
      </c>
      <c r="I68" s="60">
        <f t="shared" si="14"/>
        <v>367.63999999999993</v>
      </c>
      <c r="J68" s="60">
        <f t="shared" si="14"/>
        <v>367.63999999999993</v>
      </c>
      <c r="K68" s="60">
        <f t="shared" si="14"/>
        <v>367.63999999999993</v>
      </c>
      <c r="L68" s="60">
        <f t="shared" si="14"/>
        <v>367.63999999999993</v>
      </c>
      <c r="M68" s="60">
        <f t="shared" si="14"/>
        <v>431.04</v>
      </c>
      <c r="N68" s="60">
        <f t="shared" si="14"/>
        <v>443.33999999999992</v>
      </c>
      <c r="O68" s="60">
        <f t="shared" si="14"/>
        <v>430.03999999999996</v>
      </c>
      <c r="P68" s="60">
        <f t="shared" si="14"/>
        <v>380.73999999999995</v>
      </c>
      <c r="Q68" s="60">
        <f t="shared" si="14"/>
        <v>372.73999999999995</v>
      </c>
      <c r="R68" s="60">
        <f t="shared" si="14"/>
        <v>374.03999999999996</v>
      </c>
      <c r="S68" s="60">
        <f t="shared" si="14"/>
        <v>371.14</v>
      </c>
      <c r="T68" s="60">
        <f t="shared" si="14"/>
        <v>368.24</v>
      </c>
      <c r="U68" s="60">
        <f t="shared" si="14"/>
        <v>3.54</v>
      </c>
      <c r="V68" s="60">
        <f t="shared" si="14"/>
        <v>320.74</v>
      </c>
      <c r="W68" s="60">
        <f t="shared" si="14"/>
        <v>309.03999999999996</v>
      </c>
      <c r="X68" s="60">
        <f t="shared" si="14"/>
        <v>356.53999999999996</v>
      </c>
      <c r="Y68" s="60">
        <f t="shared" si="14"/>
        <v>356.14</v>
      </c>
      <c r="Z68" s="60">
        <f t="shared" si="14"/>
        <v>424.34000000000003</v>
      </c>
      <c r="AA68" s="60">
        <f t="shared" si="14"/>
        <v>424.34000000000003</v>
      </c>
      <c r="AB68" s="60">
        <f t="shared" ref="AB68" si="15">SUM(AB55:AB67)</f>
        <v>420.34000000000003</v>
      </c>
      <c r="AC68" s="60">
        <f t="shared" si="14"/>
        <v>420.34000000000003</v>
      </c>
      <c r="AD68" s="60">
        <f t="shared" ref="AD68:AE68" si="16">SUM(AD55:AD67)</f>
        <v>420.34000000000003</v>
      </c>
      <c r="AE68" s="60">
        <f t="shared" si="16"/>
        <v>420.34000000000003</v>
      </c>
      <c r="AF68" s="60">
        <f t="shared" ref="AF68" si="17">SUM(AF55:AF67)</f>
        <v>420.34000000000003</v>
      </c>
      <c r="AG68" s="61">
        <f t="shared" si="14"/>
        <v>489.91</v>
      </c>
      <c r="AH68" s="47">
        <f t="shared" si="2"/>
        <v>443.33999999999992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>
        <v>0</v>
      </c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>
        <v>10.5</v>
      </c>
      <c r="W69" s="45">
        <v>10.5</v>
      </c>
      <c r="X69" s="45">
        <v>20.100000000000001</v>
      </c>
      <c r="Y69" s="45">
        <v>29</v>
      </c>
      <c r="Z69" s="45">
        <v>20</v>
      </c>
      <c r="AA69" s="45">
        <v>10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29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45"/>
      <c r="G70" s="45"/>
      <c r="H70" s="45"/>
      <c r="I70" s="45">
        <v>4.9000000000000004</v>
      </c>
      <c r="J70" s="45"/>
      <c r="K70" s="45"/>
      <c r="L70" s="45"/>
      <c r="M70" s="64"/>
      <c r="N70" s="64"/>
      <c r="O70" s="64"/>
      <c r="P70" s="64"/>
      <c r="Q70" s="64"/>
      <c r="R70" s="64"/>
      <c r="S70" s="64"/>
      <c r="T70" s="64"/>
      <c r="U70" s="64"/>
      <c r="V70" s="64">
        <v>5.3</v>
      </c>
      <c r="W70" s="64">
        <v>5.3</v>
      </c>
      <c r="X70" s="64">
        <v>12.4</v>
      </c>
      <c r="Y70" s="64">
        <v>15.4</v>
      </c>
      <c r="Z70" s="64">
        <v>14</v>
      </c>
      <c r="AA70" s="64">
        <v>6.7</v>
      </c>
      <c r="AB70" s="64">
        <v>5.2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15.4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45"/>
      <c r="G71" s="45"/>
      <c r="H71" s="45"/>
      <c r="I71" s="45">
        <v>1.8</v>
      </c>
      <c r="J71" s="45"/>
      <c r="K71" s="45"/>
      <c r="L71" s="45"/>
      <c r="M71" s="66"/>
      <c r="N71" s="66"/>
      <c r="O71" s="66"/>
      <c r="P71" s="66"/>
      <c r="Q71" s="66"/>
      <c r="R71" s="66"/>
      <c r="S71" s="66"/>
      <c r="T71" s="66"/>
      <c r="U71" s="66"/>
      <c r="V71" s="66">
        <v>1.9</v>
      </c>
      <c r="W71" s="66">
        <v>1.9</v>
      </c>
      <c r="X71" s="66">
        <v>4.5</v>
      </c>
      <c r="Y71" s="66">
        <v>5.6</v>
      </c>
      <c r="Z71" s="66">
        <v>5</v>
      </c>
      <c r="AA71" s="66">
        <v>2.4</v>
      </c>
      <c r="AB71" s="66">
        <v>1.9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5.6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C72" si="18">M69+M70+M71</f>
        <v>0</v>
      </c>
      <c r="N72" s="60">
        <f t="shared" si="18"/>
        <v>0</v>
      </c>
      <c r="O72" s="60">
        <f t="shared" si="18"/>
        <v>0</v>
      </c>
      <c r="P72" s="60">
        <f t="shared" si="18"/>
        <v>0</v>
      </c>
      <c r="Q72" s="60">
        <f t="shared" si="18"/>
        <v>0</v>
      </c>
      <c r="R72" s="60">
        <f t="shared" si="18"/>
        <v>0</v>
      </c>
      <c r="S72" s="60">
        <f t="shared" si="18"/>
        <v>0</v>
      </c>
      <c r="T72" s="60">
        <f t="shared" si="18"/>
        <v>0</v>
      </c>
      <c r="U72" s="60">
        <f t="shared" si="18"/>
        <v>0</v>
      </c>
      <c r="V72" s="60">
        <f t="shared" si="18"/>
        <v>17.7</v>
      </c>
      <c r="W72" s="60">
        <f t="shared" si="18"/>
        <v>17.7</v>
      </c>
      <c r="X72" s="60">
        <f t="shared" si="18"/>
        <v>37</v>
      </c>
      <c r="Y72" s="60">
        <f t="shared" si="18"/>
        <v>50</v>
      </c>
      <c r="Z72" s="60">
        <f t="shared" si="18"/>
        <v>39</v>
      </c>
      <c r="AA72" s="60">
        <f t="shared" si="18"/>
        <v>19.099999999999998</v>
      </c>
      <c r="AB72" s="60">
        <f t="shared" ref="AB72" si="19">AB69+AB70+AB71</f>
        <v>7.1</v>
      </c>
      <c r="AC72" s="60">
        <f t="shared" si="18"/>
        <v>0</v>
      </c>
      <c r="AD72" s="60">
        <f t="shared" ref="AD72:AE72" si="20">AD69+AD70+AD71</f>
        <v>0</v>
      </c>
      <c r="AE72" s="60">
        <f t="shared" si="20"/>
        <v>0</v>
      </c>
      <c r="AF72" s="60">
        <f t="shared" ref="AF72" si="21">AF69+AF70+AF71</f>
        <v>0</v>
      </c>
      <c r="AG72" s="61">
        <f>SUM(AG69:AG71)</f>
        <v>106</v>
      </c>
      <c r="AH72" s="47">
        <f t="shared" si="2"/>
        <v>50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-1.2</v>
      </c>
      <c r="C73" s="45">
        <v>-40</v>
      </c>
      <c r="D73" s="45">
        <v>-40.6</v>
      </c>
      <c r="E73" s="45">
        <v>-43</v>
      </c>
      <c r="F73" s="45">
        <v>-41.3</v>
      </c>
      <c r="G73" s="45">
        <v>-48.1</v>
      </c>
      <c r="H73" s="45">
        <v>-51.2</v>
      </c>
      <c r="I73" s="45">
        <v>-44.7</v>
      </c>
      <c r="J73" s="45">
        <v>-63</v>
      </c>
      <c r="K73" s="45">
        <v>-65.5</v>
      </c>
      <c r="L73" s="45">
        <v>-69</v>
      </c>
      <c r="M73" s="45">
        <v>-65</v>
      </c>
      <c r="N73" s="45">
        <v>-60</v>
      </c>
      <c r="O73" s="45">
        <v>-60.8</v>
      </c>
      <c r="P73" s="45">
        <v>-60</v>
      </c>
      <c r="Q73" s="45">
        <v>-48</v>
      </c>
      <c r="R73" s="45">
        <v>-50.5</v>
      </c>
      <c r="S73" s="45">
        <v>-45.2</v>
      </c>
      <c r="T73" s="45">
        <v>-45.7</v>
      </c>
      <c r="U73" s="45"/>
      <c r="V73" s="45">
        <v>-52.9</v>
      </c>
      <c r="W73" s="45"/>
      <c r="X73" s="45">
        <v>-55</v>
      </c>
      <c r="Y73" s="45">
        <v>-47</v>
      </c>
      <c r="Z73" s="45">
        <v>-0.7</v>
      </c>
      <c r="AA73" s="45">
        <v>8.5</v>
      </c>
      <c r="AB73" s="45">
        <v>8.8000000000000007</v>
      </c>
      <c r="AC73" s="45">
        <v>5</v>
      </c>
      <c r="AD73" s="45">
        <v>5</v>
      </c>
      <c r="AE73" s="45">
        <v>-29</v>
      </c>
      <c r="AF73" s="45">
        <v>-32</v>
      </c>
      <c r="AG73" s="51"/>
      <c r="AH73" s="47">
        <f t="shared" si="2"/>
        <v>8.8000000000000007</v>
      </c>
      <c r="AI73" s="48">
        <f t="shared" si="3"/>
        <v>-69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-338</v>
      </c>
      <c r="C75" s="64">
        <v>-342</v>
      </c>
      <c r="D75" s="64">
        <v>-366</v>
      </c>
      <c r="E75" s="64">
        <v>-356.8</v>
      </c>
      <c r="F75" s="64">
        <v>-382</v>
      </c>
      <c r="G75" s="64">
        <v>-405</v>
      </c>
      <c r="H75" s="64">
        <v>-402</v>
      </c>
      <c r="I75" s="64">
        <v>-446</v>
      </c>
      <c r="J75" s="64">
        <v>-464</v>
      </c>
      <c r="K75" s="64">
        <v>-438</v>
      </c>
      <c r="L75" s="64">
        <v>-430</v>
      </c>
      <c r="M75" s="64">
        <v>-476.4</v>
      </c>
      <c r="N75" s="64">
        <v>-480.3</v>
      </c>
      <c r="O75" s="64">
        <v>-470.1</v>
      </c>
      <c r="P75" s="64">
        <v>-440</v>
      </c>
      <c r="Q75" s="64">
        <v>-468</v>
      </c>
      <c r="R75" s="64">
        <v>-429</v>
      </c>
      <c r="S75" s="64">
        <v>-429</v>
      </c>
      <c r="T75" s="64">
        <v>-430</v>
      </c>
      <c r="U75" s="64"/>
      <c r="V75" s="64">
        <v>-454</v>
      </c>
      <c r="W75" s="64"/>
      <c r="X75" s="64">
        <v>-447</v>
      </c>
      <c r="Y75" s="64">
        <v>-421</v>
      </c>
      <c r="Z75" s="64">
        <v>-366</v>
      </c>
      <c r="AA75" s="64">
        <v>-355</v>
      </c>
      <c r="AB75" s="64">
        <v>-361.2</v>
      </c>
      <c r="AC75" s="64">
        <v>-356</v>
      </c>
      <c r="AD75" s="64">
        <v>-357</v>
      </c>
      <c r="AE75" s="64">
        <v>-335</v>
      </c>
      <c r="AF75" s="64">
        <v>-332</v>
      </c>
      <c r="AG75" s="74"/>
      <c r="AH75" s="47">
        <f t="shared" si="2"/>
        <v>-332</v>
      </c>
      <c r="AI75" s="48">
        <f t="shared" si="3"/>
        <v>-480.3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22">MAX(B77:AF77)</f>
        <v>0</v>
      </c>
      <c r="AI77" s="48">
        <f t="shared" ref="AI77:AI120" si="2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22"/>
        <v>0</v>
      </c>
      <c r="AI78" s="48">
        <f t="shared" si="2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22"/>
        <v>0</v>
      </c>
      <c r="AI79" s="48">
        <f t="shared" si="2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22"/>
        <v>0</v>
      </c>
      <c r="AI80" s="48">
        <f t="shared" si="2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22"/>
        <v>0</v>
      </c>
      <c r="AI81" s="48">
        <f t="shared" si="2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22"/>
        <v>0</v>
      </c>
      <c r="AI82" s="48">
        <f t="shared" si="2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22"/>
        <v>0</v>
      </c>
      <c r="AI83" s="48">
        <f t="shared" si="2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C84" si="24">SUMIF(B73:B83,"&gt;0")</f>
        <v>0</v>
      </c>
      <c r="C84" s="60">
        <f t="shared" si="24"/>
        <v>0</v>
      </c>
      <c r="D84" s="60">
        <f t="shared" si="24"/>
        <v>0</v>
      </c>
      <c r="E84" s="60">
        <f t="shared" si="24"/>
        <v>0</v>
      </c>
      <c r="F84" s="60">
        <f t="shared" si="24"/>
        <v>0</v>
      </c>
      <c r="G84" s="60">
        <f t="shared" si="24"/>
        <v>0</v>
      </c>
      <c r="H84" s="60">
        <f t="shared" si="24"/>
        <v>0</v>
      </c>
      <c r="I84" s="60">
        <f t="shared" si="24"/>
        <v>0</v>
      </c>
      <c r="J84" s="60">
        <f t="shared" si="24"/>
        <v>0</v>
      </c>
      <c r="K84" s="60">
        <f t="shared" si="24"/>
        <v>0</v>
      </c>
      <c r="L84" s="60">
        <f t="shared" si="24"/>
        <v>0</v>
      </c>
      <c r="M84" s="60">
        <f t="shared" si="24"/>
        <v>0</v>
      </c>
      <c r="N84" s="60">
        <f t="shared" si="24"/>
        <v>0</v>
      </c>
      <c r="O84" s="60">
        <f t="shared" si="24"/>
        <v>0</v>
      </c>
      <c r="P84" s="60">
        <f t="shared" si="24"/>
        <v>0</v>
      </c>
      <c r="Q84" s="60">
        <f t="shared" si="24"/>
        <v>0</v>
      </c>
      <c r="R84" s="60">
        <f t="shared" si="24"/>
        <v>0</v>
      </c>
      <c r="S84" s="60">
        <f t="shared" si="24"/>
        <v>0</v>
      </c>
      <c r="T84" s="60">
        <f t="shared" si="24"/>
        <v>0</v>
      </c>
      <c r="U84" s="60">
        <f t="shared" si="24"/>
        <v>0</v>
      </c>
      <c r="V84" s="60">
        <f t="shared" si="24"/>
        <v>0</v>
      </c>
      <c r="W84" s="60">
        <f t="shared" si="24"/>
        <v>0</v>
      </c>
      <c r="X84" s="60">
        <f t="shared" si="24"/>
        <v>0</v>
      </c>
      <c r="Y84" s="60">
        <f t="shared" si="24"/>
        <v>0</v>
      </c>
      <c r="Z84" s="60">
        <f t="shared" si="24"/>
        <v>0</v>
      </c>
      <c r="AA84" s="60">
        <f t="shared" si="24"/>
        <v>8.5</v>
      </c>
      <c r="AB84" s="60">
        <f t="shared" ref="AB84" si="25">SUMIF(AB73:AB83,"&gt;0")</f>
        <v>8.8000000000000007</v>
      </c>
      <c r="AC84" s="60">
        <f t="shared" si="24"/>
        <v>5</v>
      </c>
      <c r="AD84" s="60">
        <f t="shared" ref="AD84:AE84" si="26">SUMIF(AD73:AD83,"&gt;0")</f>
        <v>5</v>
      </c>
      <c r="AE84" s="60">
        <f t="shared" si="26"/>
        <v>0</v>
      </c>
      <c r="AF84" s="60">
        <f t="shared" ref="AF84" si="27">SUMIF(AF73:AF83,"&gt;0")</f>
        <v>0</v>
      </c>
      <c r="AG84" s="87">
        <f>SUM(AG73:AG83)</f>
        <v>0</v>
      </c>
      <c r="AH84" s="47">
        <f t="shared" si="22"/>
        <v>8.8000000000000007</v>
      </c>
      <c r="AI84" s="48">
        <f t="shared" si="23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2"/>
        <v>0</v>
      </c>
      <c r="AI85" s="48">
        <f t="shared" si="23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2"/>
        <v>0</v>
      </c>
      <c r="AI86" s="48">
        <f t="shared" si="2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2"/>
        <v>0</v>
      </c>
      <c r="AI87" s="48">
        <f t="shared" si="2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2"/>
        <v>0</v>
      </c>
      <c r="AI88" s="48">
        <f t="shared" si="23"/>
        <v>0</v>
      </c>
    </row>
    <row r="89" spans="1:40" ht="15.75" thickBot="1" x14ac:dyDescent="0.3">
      <c r="A89" s="73" t="s">
        <v>100</v>
      </c>
      <c r="B89" s="94">
        <f t="shared" ref="B89:AG89" si="28">B50+B54+B72+B68+B84+B88</f>
        <v>2112.04</v>
      </c>
      <c r="C89" s="94">
        <f t="shared" si="28"/>
        <v>2102.04</v>
      </c>
      <c r="D89" s="94">
        <f t="shared" si="28"/>
        <v>2103.14</v>
      </c>
      <c r="E89" s="94">
        <f t="shared" si="28"/>
        <v>2118.84</v>
      </c>
      <c r="F89" s="94">
        <f t="shared" si="28"/>
        <v>2062.44</v>
      </c>
      <c r="G89" s="94">
        <f t="shared" si="28"/>
        <v>2074.14</v>
      </c>
      <c r="H89" s="94">
        <f t="shared" si="28"/>
        <v>2078.3399999999997</v>
      </c>
      <c r="I89" s="94">
        <f t="shared" si="28"/>
        <v>2078.3399999999997</v>
      </c>
      <c r="J89" s="94">
        <f t="shared" si="28"/>
        <v>2078.3399999999997</v>
      </c>
      <c r="K89" s="94">
        <f t="shared" si="28"/>
        <v>2078.3399999999997</v>
      </c>
      <c r="L89" s="94">
        <f t="shared" si="28"/>
        <v>2099.7399999999998</v>
      </c>
      <c r="M89" s="94">
        <f t="shared" si="28"/>
        <v>2101.7400000000002</v>
      </c>
      <c r="N89" s="94">
        <f t="shared" si="28"/>
        <v>2128.84</v>
      </c>
      <c r="O89" s="94">
        <f t="shared" si="28"/>
        <v>2123.54</v>
      </c>
      <c r="P89" s="94">
        <f t="shared" si="28"/>
        <v>2089.2399999999998</v>
      </c>
      <c r="Q89" s="94">
        <f t="shared" si="28"/>
        <v>2093.8399999999997</v>
      </c>
      <c r="R89" s="94">
        <f t="shared" si="28"/>
        <v>2086.44</v>
      </c>
      <c r="S89" s="94">
        <f t="shared" si="28"/>
        <v>2083.54</v>
      </c>
      <c r="T89" s="94">
        <f t="shared" si="28"/>
        <v>2080.6400000000003</v>
      </c>
      <c r="U89" s="94">
        <f t="shared" si="28"/>
        <v>3.54</v>
      </c>
      <c r="V89" s="94">
        <f t="shared" si="28"/>
        <v>2047.8400000000001</v>
      </c>
      <c r="W89" s="94">
        <f t="shared" si="28"/>
        <v>2036.14</v>
      </c>
      <c r="X89" s="94">
        <f t="shared" si="28"/>
        <v>2102.94</v>
      </c>
      <c r="Y89" s="94">
        <f t="shared" si="28"/>
        <v>2056.54</v>
      </c>
      <c r="Z89" s="94">
        <f t="shared" si="28"/>
        <v>2207.44</v>
      </c>
      <c r="AA89" s="94">
        <f t="shared" si="28"/>
        <v>2201.04</v>
      </c>
      <c r="AB89" s="94">
        <f t="shared" ref="AB89" si="29">AB50+AB54+AB72+AB68+AB84+AB88</f>
        <v>2185.34</v>
      </c>
      <c r="AC89" s="94">
        <f t="shared" si="28"/>
        <v>2150.44</v>
      </c>
      <c r="AD89" s="94">
        <f t="shared" ref="AD89:AE89" si="30">AD50+AD54+AD72+AD68+AD84+AD88</f>
        <v>2118.6400000000003</v>
      </c>
      <c r="AE89" s="94">
        <f t="shared" si="30"/>
        <v>2113.6400000000003</v>
      </c>
      <c r="AF89" s="94">
        <f t="shared" ref="AF89" si="31">AF50+AF54+AF72+AF68+AF84+AF88</f>
        <v>2040.8400000000001</v>
      </c>
      <c r="AG89" s="61">
        <f t="shared" si="28"/>
        <v>2111.5500000000002</v>
      </c>
      <c r="AH89" s="47">
        <f t="shared" si="22"/>
        <v>2207.44</v>
      </c>
      <c r="AI89" s="48">
        <f t="shared" si="23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>
        <v>80</v>
      </c>
      <c r="Z90" s="96"/>
      <c r="AA90" s="96"/>
      <c r="AB90" s="96"/>
      <c r="AC90" s="96"/>
      <c r="AD90" s="96"/>
      <c r="AE90" s="96"/>
      <c r="AF90" s="96"/>
      <c r="AG90" s="87"/>
      <c r="AH90" s="47">
        <f t="shared" si="22"/>
        <v>80</v>
      </c>
      <c r="AI90" s="48">
        <f t="shared" si="23"/>
        <v>80</v>
      </c>
    </row>
    <row r="91" spans="1:40" ht="15.75" thickBot="1" x14ac:dyDescent="0.3">
      <c r="A91" s="73" t="s">
        <v>102</v>
      </c>
      <c r="B91" s="94">
        <f t="shared" ref="B91:AC91" si="32">B89+B90</f>
        <v>2112.04</v>
      </c>
      <c r="C91" s="94">
        <f t="shared" si="32"/>
        <v>2102.04</v>
      </c>
      <c r="D91" s="94">
        <f t="shared" si="32"/>
        <v>2103.14</v>
      </c>
      <c r="E91" s="94">
        <f t="shared" si="32"/>
        <v>2118.84</v>
      </c>
      <c r="F91" s="94">
        <f t="shared" si="32"/>
        <v>2062.44</v>
      </c>
      <c r="G91" s="94">
        <f t="shared" si="32"/>
        <v>2074.14</v>
      </c>
      <c r="H91" s="94">
        <f t="shared" si="32"/>
        <v>2078.3399999999997</v>
      </c>
      <c r="I91" s="94">
        <f t="shared" si="32"/>
        <v>2078.3399999999997</v>
      </c>
      <c r="J91" s="94">
        <f t="shared" si="32"/>
        <v>2078.3399999999997</v>
      </c>
      <c r="K91" s="94">
        <f t="shared" si="32"/>
        <v>2078.3399999999997</v>
      </c>
      <c r="L91" s="94">
        <f t="shared" si="32"/>
        <v>2099.7399999999998</v>
      </c>
      <c r="M91" s="94">
        <f t="shared" si="32"/>
        <v>2101.7400000000002</v>
      </c>
      <c r="N91" s="94">
        <f t="shared" si="32"/>
        <v>2128.84</v>
      </c>
      <c r="O91" s="94">
        <f t="shared" si="32"/>
        <v>2123.54</v>
      </c>
      <c r="P91" s="94">
        <f t="shared" si="32"/>
        <v>2089.2399999999998</v>
      </c>
      <c r="Q91" s="94">
        <f t="shared" si="32"/>
        <v>2093.8399999999997</v>
      </c>
      <c r="R91" s="94">
        <f t="shared" si="32"/>
        <v>2086.44</v>
      </c>
      <c r="S91" s="94">
        <f t="shared" si="32"/>
        <v>2083.54</v>
      </c>
      <c r="T91" s="94">
        <f t="shared" si="32"/>
        <v>2080.6400000000003</v>
      </c>
      <c r="U91" s="94">
        <f t="shared" si="32"/>
        <v>3.54</v>
      </c>
      <c r="V91" s="94">
        <f t="shared" si="32"/>
        <v>2047.8400000000001</v>
      </c>
      <c r="W91" s="94">
        <f t="shared" si="32"/>
        <v>2036.14</v>
      </c>
      <c r="X91" s="94">
        <f t="shared" si="32"/>
        <v>2102.94</v>
      </c>
      <c r="Y91" s="94">
        <f t="shared" si="32"/>
        <v>2136.54</v>
      </c>
      <c r="Z91" s="94">
        <f t="shared" si="32"/>
        <v>2207.44</v>
      </c>
      <c r="AA91" s="94">
        <f t="shared" si="32"/>
        <v>2201.04</v>
      </c>
      <c r="AB91" s="94">
        <f t="shared" ref="AB91" si="33">AB89+AB90</f>
        <v>2185.34</v>
      </c>
      <c r="AC91" s="94">
        <f t="shared" si="32"/>
        <v>2150.44</v>
      </c>
      <c r="AD91" s="94">
        <f t="shared" ref="AD91:AE91" si="34">AD89+AD90</f>
        <v>2118.6400000000003</v>
      </c>
      <c r="AE91" s="94">
        <f t="shared" si="34"/>
        <v>2113.6400000000003</v>
      </c>
      <c r="AF91" s="94">
        <f t="shared" ref="AF91" si="35">AF89+AF90</f>
        <v>2040.8400000000001</v>
      </c>
      <c r="AG91" s="87">
        <f>AG88+AG84+AG72+AG68+AG50+AG90</f>
        <v>1573.45</v>
      </c>
      <c r="AH91" s="47">
        <f t="shared" si="22"/>
        <v>2207.44</v>
      </c>
      <c r="AI91" s="48">
        <f t="shared" si="23"/>
        <v>3.54</v>
      </c>
    </row>
    <row r="92" spans="1:40" ht="15.75" thickBot="1" x14ac:dyDescent="0.3">
      <c r="A92" s="73" t="s">
        <v>103</v>
      </c>
      <c r="B92" s="94">
        <f>B91-(-B99)</f>
        <v>1774.04</v>
      </c>
      <c r="C92" s="94">
        <f t="shared" ref="C92:AC92" si="36">C91-(-C99)</f>
        <v>1760.04</v>
      </c>
      <c r="D92" s="94">
        <f t="shared" si="36"/>
        <v>1737.1399999999999</v>
      </c>
      <c r="E92" s="94">
        <f t="shared" si="36"/>
        <v>1762.0400000000002</v>
      </c>
      <c r="F92" s="94">
        <f t="shared" si="36"/>
        <v>1680.44</v>
      </c>
      <c r="G92" s="94">
        <f t="shared" si="36"/>
        <v>1669.1399999999999</v>
      </c>
      <c r="H92" s="94">
        <f t="shared" si="36"/>
        <v>1676.3399999999997</v>
      </c>
      <c r="I92" s="94">
        <f t="shared" si="36"/>
        <v>1632.3399999999997</v>
      </c>
      <c r="J92" s="94">
        <f t="shared" si="36"/>
        <v>1614.3399999999997</v>
      </c>
      <c r="K92" s="94">
        <f t="shared" si="36"/>
        <v>1640.3399999999997</v>
      </c>
      <c r="L92" s="94">
        <f t="shared" si="36"/>
        <v>1669.7399999999998</v>
      </c>
      <c r="M92" s="94">
        <f t="shared" si="36"/>
        <v>1625.3400000000001</v>
      </c>
      <c r="N92" s="94">
        <f t="shared" si="36"/>
        <v>1648.5400000000002</v>
      </c>
      <c r="O92" s="94">
        <f t="shared" si="36"/>
        <v>1653.44</v>
      </c>
      <c r="P92" s="94">
        <f t="shared" si="36"/>
        <v>1649.2399999999998</v>
      </c>
      <c r="Q92" s="94">
        <f t="shared" si="36"/>
        <v>1625.8399999999997</v>
      </c>
      <c r="R92" s="94">
        <f t="shared" si="36"/>
        <v>1657.44</v>
      </c>
      <c r="S92" s="94">
        <f t="shared" si="36"/>
        <v>1654.54</v>
      </c>
      <c r="T92" s="94">
        <f t="shared" si="36"/>
        <v>1650.6400000000003</v>
      </c>
      <c r="U92" s="94">
        <f t="shared" si="36"/>
        <v>3.54</v>
      </c>
      <c r="V92" s="94">
        <f t="shared" si="36"/>
        <v>1593.8400000000001</v>
      </c>
      <c r="W92" s="94">
        <f t="shared" si="36"/>
        <v>2036.14</v>
      </c>
      <c r="X92" s="94">
        <f t="shared" si="36"/>
        <v>1655.94</v>
      </c>
      <c r="Y92" s="94">
        <f t="shared" si="36"/>
        <v>1715.54</v>
      </c>
      <c r="Z92" s="94">
        <f t="shared" si="36"/>
        <v>1841.44</v>
      </c>
      <c r="AA92" s="94">
        <f t="shared" si="36"/>
        <v>1846.04</v>
      </c>
      <c r="AB92" s="94">
        <f t="shared" ref="AB92" si="37">AB91-(-AB99)</f>
        <v>1824.14</v>
      </c>
      <c r="AC92" s="94">
        <f t="shared" si="36"/>
        <v>1794.44</v>
      </c>
      <c r="AD92" s="94">
        <f t="shared" ref="AD92:AE92" si="38">AD91-(-AD99)</f>
        <v>1761.6400000000003</v>
      </c>
      <c r="AE92" s="94">
        <f t="shared" si="38"/>
        <v>1778.6400000000003</v>
      </c>
      <c r="AF92" s="94">
        <f t="shared" ref="AF92" si="39">AF91-(-AF99)</f>
        <v>1708.8400000000001</v>
      </c>
      <c r="AG92" s="87"/>
      <c r="AH92" s="47">
        <f t="shared" si="22"/>
        <v>2036.14</v>
      </c>
      <c r="AI92" s="48">
        <f t="shared" si="23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2"/>
        <v>0</v>
      </c>
      <c r="AI93" s="48">
        <f t="shared" si="2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2"/>
        <v>0</v>
      </c>
      <c r="AI94" s="48">
        <f t="shared" si="2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2"/>
        <v>0</v>
      </c>
      <c r="AI95" s="48">
        <f t="shared" si="2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2"/>
        <v>0</v>
      </c>
      <c r="AI96" s="48">
        <f t="shared" si="2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2"/>
        <v>0</v>
      </c>
      <c r="AI97" s="48">
        <f t="shared" si="2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2"/>
        <v>0</v>
      </c>
      <c r="AI98" s="48">
        <f t="shared" si="23"/>
        <v>0</v>
      </c>
    </row>
    <row r="99" spans="1:37" ht="15.75" thickBot="1" x14ac:dyDescent="0.3">
      <c r="A99" s="98" t="s">
        <v>107</v>
      </c>
      <c r="B99" s="60">
        <f>B75</f>
        <v>-338</v>
      </c>
      <c r="C99" s="60">
        <f t="shared" ref="C99:AC99" si="40">C75</f>
        <v>-342</v>
      </c>
      <c r="D99" s="60">
        <f t="shared" si="40"/>
        <v>-366</v>
      </c>
      <c r="E99" s="60">
        <f t="shared" si="40"/>
        <v>-356.8</v>
      </c>
      <c r="F99" s="60">
        <f t="shared" si="40"/>
        <v>-382</v>
      </c>
      <c r="G99" s="60">
        <f t="shared" si="40"/>
        <v>-405</v>
      </c>
      <c r="H99" s="60">
        <f t="shared" si="40"/>
        <v>-402</v>
      </c>
      <c r="I99" s="60">
        <f t="shared" si="40"/>
        <v>-446</v>
      </c>
      <c r="J99" s="60">
        <f t="shared" si="40"/>
        <v>-464</v>
      </c>
      <c r="K99" s="60">
        <f t="shared" si="40"/>
        <v>-438</v>
      </c>
      <c r="L99" s="60">
        <f t="shared" si="40"/>
        <v>-430</v>
      </c>
      <c r="M99" s="60">
        <f t="shared" si="40"/>
        <v>-476.4</v>
      </c>
      <c r="N99" s="60">
        <f t="shared" si="40"/>
        <v>-480.3</v>
      </c>
      <c r="O99" s="60">
        <f t="shared" si="40"/>
        <v>-470.1</v>
      </c>
      <c r="P99" s="60">
        <f t="shared" si="40"/>
        <v>-440</v>
      </c>
      <c r="Q99" s="60">
        <f t="shared" si="40"/>
        <v>-468</v>
      </c>
      <c r="R99" s="60">
        <f t="shared" si="40"/>
        <v>-429</v>
      </c>
      <c r="S99" s="60">
        <f t="shared" si="40"/>
        <v>-429</v>
      </c>
      <c r="T99" s="60">
        <f t="shared" si="40"/>
        <v>-430</v>
      </c>
      <c r="U99" s="60">
        <f t="shared" si="40"/>
        <v>0</v>
      </c>
      <c r="V99" s="60">
        <f t="shared" si="40"/>
        <v>-454</v>
      </c>
      <c r="W99" s="60">
        <f t="shared" si="40"/>
        <v>0</v>
      </c>
      <c r="X99" s="60">
        <f t="shared" si="40"/>
        <v>-447</v>
      </c>
      <c r="Y99" s="60">
        <f t="shared" si="40"/>
        <v>-421</v>
      </c>
      <c r="Z99" s="60">
        <f t="shared" si="40"/>
        <v>-366</v>
      </c>
      <c r="AA99" s="60">
        <f t="shared" si="40"/>
        <v>-355</v>
      </c>
      <c r="AB99" s="60">
        <f t="shared" ref="AB99" si="41">AB75</f>
        <v>-361.2</v>
      </c>
      <c r="AC99" s="60">
        <f t="shared" si="40"/>
        <v>-356</v>
      </c>
      <c r="AD99" s="60">
        <f t="shared" ref="AD99:AE99" si="42">AD75</f>
        <v>-357</v>
      </c>
      <c r="AE99" s="60">
        <f t="shared" si="42"/>
        <v>-335</v>
      </c>
      <c r="AF99" s="60">
        <f t="shared" ref="AF99" si="43">AF75</f>
        <v>-332</v>
      </c>
      <c r="AG99" s="87"/>
      <c r="AH99" s="47">
        <f t="shared" si="22"/>
        <v>0</v>
      </c>
      <c r="AI99" s="48">
        <f t="shared" si="23"/>
        <v>-480.3</v>
      </c>
      <c r="AK99" s="50"/>
    </row>
    <row r="100" spans="1:37" ht="15.75" thickBot="1" x14ac:dyDescent="0.3">
      <c r="A100" s="73" t="s">
        <v>108</v>
      </c>
      <c r="B100" s="60">
        <f t="shared" ref="B100:AC100" si="44">B84-B99</f>
        <v>338</v>
      </c>
      <c r="C100" s="60">
        <f t="shared" si="44"/>
        <v>342</v>
      </c>
      <c r="D100" s="60">
        <f t="shared" si="44"/>
        <v>366</v>
      </c>
      <c r="E100" s="60">
        <f t="shared" si="44"/>
        <v>356.8</v>
      </c>
      <c r="F100" s="60">
        <f t="shared" si="44"/>
        <v>382</v>
      </c>
      <c r="G100" s="60">
        <f t="shared" si="44"/>
        <v>405</v>
      </c>
      <c r="H100" s="60">
        <f t="shared" si="44"/>
        <v>402</v>
      </c>
      <c r="I100" s="60">
        <f t="shared" si="44"/>
        <v>446</v>
      </c>
      <c r="J100" s="60">
        <f t="shared" si="44"/>
        <v>464</v>
      </c>
      <c r="K100" s="60">
        <f t="shared" si="44"/>
        <v>438</v>
      </c>
      <c r="L100" s="60">
        <f t="shared" si="44"/>
        <v>430</v>
      </c>
      <c r="M100" s="60">
        <f t="shared" si="44"/>
        <v>476.4</v>
      </c>
      <c r="N100" s="60">
        <f t="shared" si="44"/>
        <v>480.3</v>
      </c>
      <c r="O100" s="60">
        <f t="shared" si="44"/>
        <v>470.1</v>
      </c>
      <c r="P100" s="60">
        <f t="shared" si="44"/>
        <v>440</v>
      </c>
      <c r="Q100" s="60">
        <f t="shared" si="44"/>
        <v>468</v>
      </c>
      <c r="R100" s="60">
        <f t="shared" si="44"/>
        <v>429</v>
      </c>
      <c r="S100" s="60">
        <f t="shared" si="44"/>
        <v>429</v>
      </c>
      <c r="T100" s="60">
        <f t="shared" si="44"/>
        <v>430</v>
      </c>
      <c r="U100" s="60">
        <f t="shared" si="44"/>
        <v>0</v>
      </c>
      <c r="V100" s="60">
        <f t="shared" si="44"/>
        <v>454</v>
      </c>
      <c r="W100" s="60">
        <f t="shared" si="44"/>
        <v>0</v>
      </c>
      <c r="X100" s="60">
        <f t="shared" si="44"/>
        <v>447</v>
      </c>
      <c r="Y100" s="60">
        <f t="shared" si="44"/>
        <v>421</v>
      </c>
      <c r="Z100" s="60">
        <f t="shared" si="44"/>
        <v>366</v>
      </c>
      <c r="AA100" s="60">
        <f t="shared" si="44"/>
        <v>363.5</v>
      </c>
      <c r="AB100" s="60">
        <f t="shared" ref="AB100" si="45">AB84-AB99</f>
        <v>370</v>
      </c>
      <c r="AC100" s="60">
        <f t="shared" si="44"/>
        <v>361</v>
      </c>
      <c r="AD100" s="60">
        <f t="shared" ref="AD100:AE100" si="46">AD84-AD99</f>
        <v>362</v>
      </c>
      <c r="AE100" s="60">
        <f t="shared" si="46"/>
        <v>335</v>
      </c>
      <c r="AF100" s="60">
        <f t="shared" ref="AF100" si="47">AF84-AF99</f>
        <v>332</v>
      </c>
      <c r="AG100" s="87"/>
      <c r="AH100" s="47">
        <f t="shared" si="22"/>
        <v>480.3</v>
      </c>
      <c r="AI100" s="48">
        <f t="shared" si="23"/>
        <v>0</v>
      </c>
    </row>
    <row r="101" spans="1:37" x14ac:dyDescent="0.25">
      <c r="A101" s="99" t="s">
        <v>109</v>
      </c>
      <c r="B101" s="100">
        <v>50.070999999999998</v>
      </c>
      <c r="C101" s="100">
        <v>50.003</v>
      </c>
      <c r="D101" s="100">
        <v>49.97</v>
      </c>
      <c r="E101" s="100">
        <v>49.98</v>
      </c>
      <c r="F101" s="100">
        <v>49.96</v>
      </c>
      <c r="G101" s="100">
        <v>49.930999999999997</v>
      </c>
      <c r="H101" s="100">
        <v>50</v>
      </c>
      <c r="I101" s="100">
        <v>50</v>
      </c>
      <c r="J101" s="100">
        <v>50</v>
      </c>
      <c r="K101" s="100">
        <v>49.99</v>
      </c>
      <c r="L101" s="100">
        <v>50.030999999999999</v>
      </c>
      <c r="M101" s="100">
        <v>50.06</v>
      </c>
      <c r="N101" s="100">
        <v>50.024000000000001</v>
      </c>
      <c r="O101" s="100">
        <v>50.000999999999998</v>
      </c>
      <c r="P101" s="100">
        <v>50.07</v>
      </c>
      <c r="Q101" s="100">
        <v>50.03</v>
      </c>
      <c r="R101" s="100">
        <v>50.04</v>
      </c>
      <c r="S101" s="100">
        <v>50.066000000000003</v>
      </c>
      <c r="T101" s="100">
        <v>49.951000000000001</v>
      </c>
      <c r="U101" s="100"/>
      <c r="V101" s="100">
        <v>50</v>
      </c>
      <c r="W101" s="100">
        <v>50</v>
      </c>
      <c r="X101" s="100">
        <v>50</v>
      </c>
      <c r="Y101" s="100">
        <v>49.902000000000001</v>
      </c>
      <c r="Z101" s="100">
        <v>50.048999999999999</v>
      </c>
      <c r="AA101" s="100">
        <v>50.04</v>
      </c>
      <c r="AB101" s="100">
        <v>50.067</v>
      </c>
      <c r="AC101" s="100">
        <v>50</v>
      </c>
      <c r="AD101" s="100">
        <v>49.99</v>
      </c>
      <c r="AE101" s="100">
        <v>49.99</v>
      </c>
      <c r="AF101" s="100">
        <v>50</v>
      </c>
      <c r="AG101" s="101"/>
      <c r="AH101" s="47">
        <f t="shared" si="22"/>
        <v>50.070999999999998</v>
      </c>
      <c r="AI101" s="48">
        <f t="shared" si="23"/>
        <v>49.902000000000001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2"/>
        <v>0</v>
      </c>
      <c r="AI102" s="48">
        <f t="shared" si="23"/>
        <v>0</v>
      </c>
    </row>
    <row r="103" spans="1:37" x14ac:dyDescent="0.25">
      <c r="A103" s="102" t="s">
        <v>111</v>
      </c>
      <c r="B103" s="64">
        <v>128.5</v>
      </c>
      <c r="C103" s="64">
        <v>128.69999999999999</v>
      </c>
      <c r="D103" s="64">
        <v>129.5</v>
      </c>
      <c r="E103" s="64">
        <v>129.5</v>
      </c>
      <c r="F103" s="64">
        <v>130.5</v>
      </c>
      <c r="G103" s="64">
        <v>128.5</v>
      </c>
      <c r="H103" s="64">
        <v>127.9</v>
      </c>
      <c r="I103" s="64">
        <v>127.9</v>
      </c>
      <c r="J103" s="64">
        <v>127.5</v>
      </c>
      <c r="K103" s="64">
        <v>127.5</v>
      </c>
      <c r="L103" s="64">
        <v>126.4</v>
      </c>
      <c r="M103" s="64">
        <v>126.9</v>
      </c>
      <c r="N103" s="64">
        <v>127.7</v>
      </c>
      <c r="O103" s="64">
        <v>127.4</v>
      </c>
      <c r="P103" s="64">
        <v>127.6</v>
      </c>
      <c r="Q103" s="64">
        <v>128.5</v>
      </c>
      <c r="R103" s="64">
        <v>128.69999999999999</v>
      </c>
      <c r="S103" s="64">
        <v>128.1</v>
      </c>
      <c r="T103" s="64">
        <v>128.9</v>
      </c>
      <c r="U103" s="64"/>
      <c r="V103" s="64">
        <v>127.8</v>
      </c>
      <c r="W103" s="64">
        <v>127.8</v>
      </c>
      <c r="X103" s="64">
        <v>127.8</v>
      </c>
      <c r="Y103" s="64">
        <v>125.4</v>
      </c>
      <c r="Z103" s="64">
        <v>126.1</v>
      </c>
      <c r="AA103" s="64">
        <v>126.5</v>
      </c>
      <c r="AB103" s="64">
        <v>125.1</v>
      </c>
      <c r="AC103" s="64">
        <v>125.1</v>
      </c>
      <c r="AD103" s="64">
        <v>125.1</v>
      </c>
      <c r="AE103" s="64">
        <v>125.1</v>
      </c>
      <c r="AF103" s="64">
        <v>126.8</v>
      </c>
      <c r="AG103" s="103"/>
      <c r="AH103" s="47">
        <f t="shared" si="22"/>
        <v>130.5</v>
      </c>
      <c r="AI103" s="48">
        <f t="shared" si="23"/>
        <v>125.1</v>
      </c>
    </row>
    <row r="104" spans="1:37" x14ac:dyDescent="0.25">
      <c r="A104" s="102" t="s">
        <v>112</v>
      </c>
      <c r="B104" s="64">
        <v>127.6</v>
      </c>
      <c r="C104" s="64">
        <v>128.5</v>
      </c>
      <c r="D104" s="64">
        <v>130.69999999999999</v>
      </c>
      <c r="E104" s="64">
        <v>130.69999999999999</v>
      </c>
      <c r="F104" s="64">
        <v>129.6</v>
      </c>
      <c r="G104" s="64">
        <v>130.74</v>
      </c>
      <c r="H104" s="64">
        <v>131.9</v>
      </c>
      <c r="I104" s="64">
        <v>131.9</v>
      </c>
      <c r="J104" s="64">
        <v>128.80000000000001</v>
      </c>
      <c r="K104" s="64">
        <v>128.80000000000001</v>
      </c>
      <c r="L104" s="64">
        <v>128.80000000000001</v>
      </c>
      <c r="M104" s="64">
        <v>129</v>
      </c>
      <c r="N104" s="64">
        <v>127.7</v>
      </c>
      <c r="O104" s="64">
        <v>128.6</v>
      </c>
      <c r="P104" s="64">
        <v>126.2</v>
      </c>
      <c r="Q104" s="64">
        <v>127.4</v>
      </c>
      <c r="R104" s="64">
        <v>126.6</v>
      </c>
      <c r="S104" s="64">
        <v>125.6</v>
      </c>
      <c r="T104" s="64">
        <v>129.1</v>
      </c>
      <c r="U104" s="64"/>
      <c r="V104" s="64">
        <v>129.4</v>
      </c>
      <c r="W104" s="64">
        <v>129.4</v>
      </c>
      <c r="X104" s="64">
        <v>129.4</v>
      </c>
      <c r="Y104" s="64">
        <v>133.4</v>
      </c>
      <c r="Z104" s="64">
        <v>128</v>
      </c>
      <c r="AA104" s="64">
        <v>128.1</v>
      </c>
      <c r="AB104" s="64">
        <v>125.6</v>
      </c>
      <c r="AC104" s="64">
        <v>125.6</v>
      </c>
      <c r="AD104" s="64">
        <v>125.6</v>
      </c>
      <c r="AE104" s="64">
        <v>125.6</v>
      </c>
      <c r="AF104" s="64">
        <v>125</v>
      </c>
      <c r="AG104" s="103"/>
      <c r="AH104" s="47">
        <f t="shared" si="22"/>
        <v>133.4</v>
      </c>
      <c r="AI104" s="48">
        <f t="shared" si="23"/>
        <v>125</v>
      </c>
    </row>
    <row r="105" spans="1:37" x14ac:dyDescent="0.25">
      <c r="A105" s="104" t="s">
        <v>113</v>
      </c>
      <c r="B105" s="64">
        <v>130.19999999999999</v>
      </c>
      <c r="C105" s="64">
        <v>131.1</v>
      </c>
      <c r="D105" s="64">
        <v>133</v>
      </c>
      <c r="E105" s="64">
        <v>133</v>
      </c>
      <c r="F105" s="64">
        <v>133.5</v>
      </c>
      <c r="G105" s="64">
        <v>134.5</v>
      </c>
      <c r="H105" s="64">
        <v>136</v>
      </c>
      <c r="I105" s="64">
        <v>136</v>
      </c>
      <c r="J105" s="64">
        <v>131.9</v>
      </c>
      <c r="K105" s="64">
        <v>131.9</v>
      </c>
      <c r="L105" s="64">
        <v>131.9</v>
      </c>
      <c r="M105" s="64">
        <v>130.6</v>
      </c>
      <c r="N105" s="64">
        <v>129</v>
      </c>
      <c r="O105" s="64">
        <v>130.1</v>
      </c>
      <c r="P105" s="64">
        <v>128.6</v>
      </c>
      <c r="Q105" s="64">
        <v>129.80000000000001</v>
      </c>
      <c r="R105" s="64">
        <v>128.9</v>
      </c>
      <c r="S105" s="64">
        <v>127.1</v>
      </c>
      <c r="T105" s="64">
        <v>130.9</v>
      </c>
      <c r="U105" s="64"/>
      <c r="V105" s="64">
        <v>131.4</v>
      </c>
      <c r="W105" s="64">
        <v>131.4</v>
      </c>
      <c r="X105" s="64">
        <v>131.4</v>
      </c>
      <c r="Y105" s="64">
        <v>133.6</v>
      </c>
      <c r="Z105" s="64">
        <v>129.19999999999999</v>
      </c>
      <c r="AA105" s="64">
        <v>130.1</v>
      </c>
      <c r="AB105" s="64">
        <v>128.5</v>
      </c>
      <c r="AC105" s="64">
        <v>128.5</v>
      </c>
      <c r="AD105" s="64">
        <v>128.5</v>
      </c>
      <c r="AE105" s="64">
        <v>128.5</v>
      </c>
      <c r="AF105" s="64">
        <v>129</v>
      </c>
      <c r="AG105" s="103"/>
      <c r="AH105" s="47">
        <f t="shared" si="22"/>
        <v>136</v>
      </c>
      <c r="AI105" s="48">
        <f t="shared" si="23"/>
        <v>127.1</v>
      </c>
    </row>
    <row r="106" spans="1:37" x14ac:dyDescent="0.25">
      <c r="A106" s="104" t="s">
        <v>114</v>
      </c>
      <c r="B106" s="105">
        <v>133.6</v>
      </c>
      <c r="C106" s="105">
        <v>129.19999999999999</v>
      </c>
      <c r="D106" s="105">
        <v>134.5</v>
      </c>
      <c r="E106" s="105">
        <v>134.5</v>
      </c>
      <c r="F106" s="105">
        <v>134.6</v>
      </c>
      <c r="G106" s="105">
        <v>130.6</v>
      </c>
      <c r="H106" s="105">
        <v>128</v>
      </c>
      <c r="I106" s="105">
        <v>128</v>
      </c>
      <c r="J106" s="105">
        <v>130.69999999999999</v>
      </c>
      <c r="K106" s="105">
        <v>130.69999999999999</v>
      </c>
      <c r="L106" s="105">
        <v>130.69999999999999</v>
      </c>
      <c r="M106" s="105">
        <v>131.19999999999999</v>
      </c>
      <c r="N106" s="105">
        <v>135.6</v>
      </c>
      <c r="O106" s="105">
        <v>133.30000000000001</v>
      </c>
      <c r="P106" s="105">
        <v>132.5</v>
      </c>
      <c r="Q106" s="105">
        <v>132.9</v>
      </c>
      <c r="R106" s="105">
        <v>133.1</v>
      </c>
      <c r="S106" s="105">
        <v>131.4</v>
      </c>
      <c r="T106" s="105">
        <v>133.6</v>
      </c>
      <c r="U106" s="105"/>
      <c r="V106" s="105">
        <v>131.19999999999999</v>
      </c>
      <c r="W106" s="105">
        <v>131.19999999999999</v>
      </c>
      <c r="X106" s="105">
        <v>131.19999999999999</v>
      </c>
      <c r="Y106" s="105">
        <v>131.69999999999999</v>
      </c>
      <c r="Z106" s="105">
        <v>135</v>
      </c>
      <c r="AA106" s="105">
        <v>134</v>
      </c>
      <c r="AB106" s="105">
        <v>132</v>
      </c>
      <c r="AC106" s="105">
        <v>132</v>
      </c>
      <c r="AD106" s="105">
        <v>132</v>
      </c>
      <c r="AE106" s="105">
        <v>132</v>
      </c>
      <c r="AF106" s="105">
        <v>133</v>
      </c>
      <c r="AG106" s="106"/>
      <c r="AH106" s="47">
        <f t="shared" si="22"/>
        <v>135.6</v>
      </c>
      <c r="AI106" s="48">
        <f t="shared" si="23"/>
        <v>128</v>
      </c>
    </row>
    <row r="107" spans="1:37" x14ac:dyDescent="0.25">
      <c r="A107" s="102" t="s">
        <v>115</v>
      </c>
      <c r="B107" s="64">
        <v>132.19999999999999</v>
      </c>
      <c r="C107" s="64">
        <v>125.3</v>
      </c>
      <c r="D107" s="64">
        <v>135</v>
      </c>
      <c r="E107" s="64">
        <v>135</v>
      </c>
      <c r="F107" s="64">
        <v>134</v>
      </c>
      <c r="G107" s="64">
        <v>127.4</v>
      </c>
      <c r="H107" s="64">
        <v>126.8</v>
      </c>
      <c r="I107" s="64">
        <v>126.8</v>
      </c>
      <c r="J107" s="64">
        <v>131</v>
      </c>
      <c r="K107" s="64">
        <v>131</v>
      </c>
      <c r="L107" s="64">
        <v>131</v>
      </c>
      <c r="M107" s="64">
        <v>133</v>
      </c>
      <c r="N107" s="64">
        <v>135.69999999999999</v>
      </c>
      <c r="O107" s="64">
        <v>132.30000000000001</v>
      </c>
      <c r="P107" s="64">
        <v>137</v>
      </c>
      <c r="Q107" s="64">
        <v>134.9</v>
      </c>
      <c r="R107" s="64">
        <v>132.6</v>
      </c>
      <c r="S107" s="64">
        <v>132.30000000000001</v>
      </c>
      <c r="T107" s="64">
        <v>132.19999999999999</v>
      </c>
      <c r="U107" s="64"/>
      <c r="V107" s="64">
        <v>134.5</v>
      </c>
      <c r="W107" s="64">
        <v>134.5</v>
      </c>
      <c r="X107" s="64">
        <v>134.5</v>
      </c>
      <c r="Y107" s="64">
        <v>137</v>
      </c>
      <c r="Z107" s="64">
        <v>132</v>
      </c>
      <c r="AA107" s="64">
        <v>134.19999999999999</v>
      </c>
      <c r="AB107" s="64">
        <v>128.4</v>
      </c>
      <c r="AC107" s="64">
        <v>128.4</v>
      </c>
      <c r="AD107" s="64">
        <v>128.4</v>
      </c>
      <c r="AE107" s="64">
        <v>128.4</v>
      </c>
      <c r="AF107" s="64">
        <v>135</v>
      </c>
      <c r="AG107" s="103"/>
      <c r="AH107" s="47">
        <f t="shared" si="22"/>
        <v>137</v>
      </c>
      <c r="AI107" s="48">
        <f t="shared" si="23"/>
        <v>125.3</v>
      </c>
    </row>
    <row r="108" spans="1:37" ht="15.75" thickBot="1" x14ac:dyDescent="0.3">
      <c r="A108" s="102" t="s">
        <v>116</v>
      </c>
      <c r="B108" s="91">
        <v>64.5</v>
      </c>
      <c r="C108" s="91">
        <v>64.900000000000006</v>
      </c>
      <c r="D108" s="91">
        <v>65.3</v>
      </c>
      <c r="E108" s="91">
        <v>65.3</v>
      </c>
      <c r="F108" s="91">
        <v>65.8</v>
      </c>
      <c r="G108" s="91">
        <v>64.900000000000006</v>
      </c>
      <c r="H108" s="91">
        <v>64.599999999999994</v>
      </c>
      <c r="I108" s="91">
        <v>64.599999999999994</v>
      </c>
      <c r="J108" s="91">
        <v>64</v>
      </c>
      <c r="K108" s="91">
        <v>64</v>
      </c>
      <c r="L108" s="91">
        <v>64</v>
      </c>
      <c r="M108" s="91">
        <v>63.6</v>
      </c>
      <c r="N108" s="91">
        <v>64.7</v>
      </c>
      <c r="O108" s="91">
        <v>64.2</v>
      </c>
      <c r="P108" s="91">
        <v>64.3</v>
      </c>
      <c r="Q108" s="91">
        <v>64.900000000000006</v>
      </c>
      <c r="R108" s="91">
        <v>64.8</v>
      </c>
      <c r="S108" s="91">
        <v>64.5</v>
      </c>
      <c r="T108" s="91">
        <v>64.900000000000006</v>
      </c>
      <c r="U108" s="91"/>
      <c r="V108" s="91">
        <v>64.7</v>
      </c>
      <c r="W108" s="91">
        <v>64.7</v>
      </c>
      <c r="X108" s="91">
        <v>64.7</v>
      </c>
      <c r="Y108" s="91">
        <v>62.8</v>
      </c>
      <c r="Z108" s="91">
        <v>63.5</v>
      </c>
      <c r="AA108" s="91">
        <v>64</v>
      </c>
      <c r="AB108" s="91">
        <v>63.1</v>
      </c>
      <c r="AC108" s="91">
        <v>63.1</v>
      </c>
      <c r="AD108" s="91">
        <v>63.1</v>
      </c>
      <c r="AE108" s="91">
        <v>63.1</v>
      </c>
      <c r="AF108" s="91">
        <v>63.9</v>
      </c>
      <c r="AG108" s="107"/>
      <c r="AH108" s="47">
        <f t="shared" si="22"/>
        <v>65.8</v>
      </c>
      <c r="AI108" s="48">
        <f t="shared" si="23"/>
        <v>62.8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2"/>
        <v>0</v>
      </c>
      <c r="AI109" s="48">
        <f t="shared" si="23"/>
        <v>0</v>
      </c>
    </row>
    <row r="110" spans="1:37" ht="15.75" thickBot="1" x14ac:dyDescent="0.3">
      <c r="A110" s="109" t="s">
        <v>118</v>
      </c>
      <c r="B110" s="110">
        <f t="shared" ref="B110:O110" si="48">SUM(B20,B26,B29:B30,B58,B60:B61,B63,B65,B111:B115,B138,B144,B150,B159,B161,B173,B180,B183:B184,B191,B193,B195,B199:B201,B203:B205,B210,B216:B217,B219:B221,B229,B234)</f>
        <v>93.899999999999991</v>
      </c>
      <c r="C110" s="110">
        <f t="shared" si="48"/>
        <v>82.940000000000026</v>
      </c>
      <c r="D110" s="110">
        <f t="shared" si="48"/>
        <v>71.839999999999975</v>
      </c>
      <c r="E110" s="110">
        <f t="shared" si="48"/>
        <v>84.34</v>
      </c>
      <c r="F110" s="110">
        <f t="shared" si="48"/>
        <v>67.84</v>
      </c>
      <c r="G110" s="110">
        <f t="shared" si="48"/>
        <v>94.640000000000015</v>
      </c>
      <c r="H110" s="110">
        <f t="shared" si="48"/>
        <v>101.34</v>
      </c>
      <c r="I110" s="110">
        <f t="shared" si="48"/>
        <v>113.44000000000003</v>
      </c>
      <c r="J110" s="110">
        <f t="shared" si="48"/>
        <v>131.54</v>
      </c>
      <c r="K110" s="110">
        <f t="shared" si="48"/>
        <v>145.54</v>
      </c>
      <c r="L110" s="110">
        <f t="shared" si="48"/>
        <v>188.74</v>
      </c>
      <c r="M110" s="110">
        <f t="shared" si="48"/>
        <v>180.64</v>
      </c>
      <c r="N110" s="110">
        <f t="shared" si="48"/>
        <v>167.34</v>
      </c>
      <c r="O110" s="110">
        <f t="shared" si="48"/>
        <v>152.73999999999998</v>
      </c>
      <c r="P110" s="110">
        <v>42</v>
      </c>
      <c r="Q110" s="110">
        <f t="shared" ref="Q110:AC110" si="49">SUM(Q20,Q26,Q29:Q30,Q58,Q60:Q61,Q63,Q65,Q111:Q115,Q138,Q144,Q150,Q159,Q161,Q173,Q180,Q183:Q184,Q191,Q193,Q195,Q199:Q201,Q203:Q205,Q210,Q216:Q217,Q219:Q221,Q229,Q234)</f>
        <v>145</v>
      </c>
      <c r="R110" s="110">
        <f t="shared" si="49"/>
        <v>128.50000000000003</v>
      </c>
      <c r="S110" s="110">
        <f t="shared" si="49"/>
        <v>154.66399999999996</v>
      </c>
      <c r="T110" s="110">
        <f t="shared" si="49"/>
        <v>147.5</v>
      </c>
      <c r="U110" s="110">
        <f t="shared" si="49"/>
        <v>0</v>
      </c>
      <c r="V110" s="110">
        <f t="shared" si="49"/>
        <v>134.59999999999997</v>
      </c>
      <c r="W110" s="110">
        <f t="shared" si="49"/>
        <v>122.89999999999999</v>
      </c>
      <c r="X110" s="110">
        <f t="shared" si="49"/>
        <v>122.89999999999999</v>
      </c>
      <c r="Y110" s="110">
        <f t="shared" si="49"/>
        <v>425.70000000000005</v>
      </c>
      <c r="Z110" s="110">
        <f t="shared" si="49"/>
        <v>421.3</v>
      </c>
      <c r="AA110" s="110">
        <f t="shared" si="49"/>
        <v>403.4</v>
      </c>
      <c r="AB110" s="110">
        <f t="shared" ref="AB110" si="50">SUM(AB20,AB26,AB29:AB30,AB58,AB60:AB61,AB63,AB65,AB111:AB115,AB138,AB144,AB150,AB159,AB161,AB173,AB180,AB183:AB184,AB191,AB193,AB195,AB199:AB201,AB203:AB205,AB210,AB216:AB217,AB219:AB221,AB229,AB234)</f>
        <v>403.3</v>
      </c>
      <c r="AC110" s="110">
        <f t="shared" si="49"/>
        <v>205.7</v>
      </c>
      <c r="AD110" s="110">
        <f t="shared" ref="AD110:AE110" si="51">SUM(AD20,AD26,AD29:AD30,AD58,AD60:AD61,AD63,AD65,AD111:AD115,AD138,AD144,AD150,AD159,AD161,AD173,AD180,AD183:AD184,AD191,AD193,AD195,AD199:AD201,AD203:AD205,AD210,AD216:AD217,AD219:AD221,AD229,AD234)</f>
        <v>176.7</v>
      </c>
      <c r="AE110" s="110">
        <f t="shared" si="51"/>
        <v>176.7</v>
      </c>
      <c r="AF110" s="110">
        <f t="shared" ref="AF110" si="52">SUM(AF20,AF26,AF29:AF30,AF58,AF60:AF61,AF63,AF65,AF111:AF115,AF138,AF144,AF150,AF159,AF161,AF173,AF180,AF183:AF184,AF191,AF193,AF195,AF199:AF201,AF203:AF205,AF210,AF216:AF217,AF219:AF221,AF229,AF234)</f>
        <v>77.699999999999989</v>
      </c>
      <c r="AG110" s="111"/>
      <c r="AH110" s="47">
        <f t="shared" si="22"/>
        <v>425.70000000000005</v>
      </c>
      <c r="AI110" s="48">
        <f t="shared" si="23"/>
        <v>0</v>
      </c>
    </row>
    <row r="111" spans="1:37" x14ac:dyDescent="0.25">
      <c r="A111" s="99" t="s">
        <v>119</v>
      </c>
      <c r="B111" s="112">
        <v>35.4</v>
      </c>
      <c r="C111" s="112">
        <v>28.4</v>
      </c>
      <c r="D111" s="112">
        <v>19</v>
      </c>
      <c r="E111" s="112">
        <v>28.4</v>
      </c>
      <c r="F111" s="112">
        <v>17.399999999999999</v>
      </c>
      <c r="G111" s="112">
        <v>24.3</v>
      </c>
      <c r="H111" s="112">
        <v>28.8</v>
      </c>
      <c r="I111" s="112">
        <v>27</v>
      </c>
      <c r="J111" s="112">
        <v>14</v>
      </c>
      <c r="K111" s="112">
        <v>16</v>
      </c>
      <c r="L111" s="112">
        <v>30.4</v>
      </c>
      <c r="M111" s="112">
        <v>25.4</v>
      </c>
      <c r="N111" s="112">
        <v>26.6</v>
      </c>
      <c r="O111" s="112">
        <v>24</v>
      </c>
      <c r="P111" s="112">
        <v>26.3</v>
      </c>
      <c r="Q111" s="112">
        <v>24</v>
      </c>
      <c r="R111" s="112">
        <v>19.399999999999999</v>
      </c>
      <c r="S111" s="112">
        <v>50.064</v>
      </c>
      <c r="T111" s="112">
        <v>21.3</v>
      </c>
      <c r="U111" s="112"/>
      <c r="V111" s="112">
        <v>10.1</v>
      </c>
      <c r="W111" s="112">
        <v>10.1</v>
      </c>
      <c r="X111" s="112">
        <v>10.1</v>
      </c>
      <c r="Y111" s="112">
        <v>65.900000000000006</v>
      </c>
      <c r="Z111" s="112">
        <v>63.3</v>
      </c>
      <c r="AA111" s="112">
        <v>63.2</v>
      </c>
      <c r="AB111" s="112">
        <v>67.3</v>
      </c>
      <c r="AC111" s="112">
        <v>63</v>
      </c>
      <c r="AD111" s="112">
        <v>65</v>
      </c>
      <c r="AE111" s="112">
        <v>65</v>
      </c>
      <c r="AF111" s="112">
        <v>32</v>
      </c>
      <c r="AG111" s="113">
        <v>75</v>
      </c>
      <c r="AH111" s="47">
        <f t="shared" si="22"/>
        <v>67.3</v>
      </c>
      <c r="AI111" s="48">
        <f t="shared" si="23"/>
        <v>10.1</v>
      </c>
    </row>
    <row r="112" spans="1:37" x14ac:dyDescent="0.25">
      <c r="A112" s="102" t="s">
        <v>120</v>
      </c>
      <c r="B112" s="114">
        <v>57.3</v>
      </c>
      <c r="C112" s="114">
        <v>47.2</v>
      </c>
      <c r="D112" s="114">
        <v>32.200000000000003</v>
      </c>
      <c r="E112" s="114">
        <v>47.5</v>
      </c>
      <c r="F112" s="114">
        <v>33.5</v>
      </c>
      <c r="G112" s="114">
        <v>47.2</v>
      </c>
      <c r="H112" s="114">
        <v>52.6</v>
      </c>
      <c r="I112" s="114">
        <v>49</v>
      </c>
      <c r="J112" s="114">
        <v>31</v>
      </c>
      <c r="K112" s="114">
        <v>33</v>
      </c>
      <c r="L112" s="114">
        <v>45.3</v>
      </c>
      <c r="M112" s="114">
        <v>40.6</v>
      </c>
      <c r="N112" s="114">
        <v>42.4</v>
      </c>
      <c r="O112" s="114">
        <v>30.2</v>
      </c>
      <c r="P112" s="114">
        <v>34.700000000000003</v>
      </c>
      <c r="Q112" s="114">
        <v>32</v>
      </c>
      <c r="R112" s="114">
        <v>26.3</v>
      </c>
      <c r="S112" s="114">
        <v>29.3</v>
      </c>
      <c r="T112" s="114">
        <v>27.4</v>
      </c>
      <c r="U112" s="114"/>
      <c r="V112" s="114">
        <v>11</v>
      </c>
      <c r="W112" s="114">
        <v>11</v>
      </c>
      <c r="X112" s="114">
        <v>11</v>
      </c>
      <c r="Y112" s="114">
        <v>93.1</v>
      </c>
      <c r="Z112" s="114">
        <v>92.3</v>
      </c>
      <c r="AA112" s="114">
        <v>92.5</v>
      </c>
      <c r="AB112" s="114">
        <v>98.4</v>
      </c>
      <c r="AC112" s="114">
        <v>91</v>
      </c>
      <c r="AD112" s="114">
        <v>93</v>
      </c>
      <c r="AE112" s="114">
        <v>93</v>
      </c>
      <c r="AF112" s="114">
        <v>47</v>
      </c>
      <c r="AG112" s="113">
        <v>240</v>
      </c>
      <c r="AH112" s="47">
        <f t="shared" si="22"/>
        <v>98.4</v>
      </c>
      <c r="AI112" s="48">
        <f t="shared" si="23"/>
        <v>11</v>
      </c>
    </row>
    <row r="113" spans="1:37" x14ac:dyDescent="0.25">
      <c r="A113" s="102" t="s">
        <v>121</v>
      </c>
      <c r="B113" s="114">
        <v>-192.5</v>
      </c>
      <c r="C113" s="114">
        <v>-187.2</v>
      </c>
      <c r="D113" s="114">
        <v>-168</v>
      </c>
      <c r="E113" s="114">
        <v>-192</v>
      </c>
      <c r="F113" s="114">
        <v>-186</v>
      </c>
      <c r="G113" s="114">
        <v>-179</v>
      </c>
      <c r="H113" s="114">
        <v>-196</v>
      </c>
      <c r="I113" s="114">
        <v>-180</v>
      </c>
      <c r="J113" s="114">
        <v>-140</v>
      </c>
      <c r="K113" s="114">
        <v>-130</v>
      </c>
      <c r="L113" s="114">
        <v>-120</v>
      </c>
      <c r="M113" s="114">
        <f>-58-61</f>
        <v>-119</v>
      </c>
      <c r="N113" s="114">
        <f>-56-59</f>
        <v>-115</v>
      </c>
      <c r="O113" s="114">
        <f>-64-66</f>
        <v>-130</v>
      </c>
      <c r="P113" s="114">
        <f>-65-67</f>
        <v>-132</v>
      </c>
      <c r="Q113" s="114">
        <f>-70-73</f>
        <v>-143</v>
      </c>
      <c r="R113" s="114">
        <f>-69.8-72.9</f>
        <v>-142.69999999999999</v>
      </c>
      <c r="S113" s="114">
        <v>-142</v>
      </c>
      <c r="T113" s="114">
        <v>-118</v>
      </c>
      <c r="U113" s="114"/>
      <c r="V113" s="114">
        <v>-100</v>
      </c>
      <c r="W113" s="114">
        <v>-100</v>
      </c>
      <c r="X113" s="114">
        <v>-100</v>
      </c>
      <c r="Y113" s="114"/>
      <c r="Z113" s="114"/>
      <c r="AA113" s="114"/>
      <c r="AB113" s="114" t="s">
        <v>298</v>
      </c>
      <c r="AC113" s="114">
        <v>-170</v>
      </c>
      <c r="AD113" s="114">
        <v>-170</v>
      </c>
      <c r="AE113" s="114">
        <v>-170</v>
      </c>
      <c r="AF113" s="114">
        <v>-168</v>
      </c>
      <c r="AG113" s="113">
        <v>240</v>
      </c>
      <c r="AH113" s="47">
        <f t="shared" si="22"/>
        <v>-100</v>
      </c>
      <c r="AI113" s="48">
        <f t="shared" si="23"/>
        <v>-196</v>
      </c>
    </row>
    <row r="114" spans="1:37" x14ac:dyDescent="0.25">
      <c r="A114" s="102" t="s">
        <v>122</v>
      </c>
      <c r="B114" s="114">
        <v>-15</v>
      </c>
      <c r="C114" s="114">
        <v>-15.2</v>
      </c>
      <c r="D114" s="114">
        <v>-11.2</v>
      </c>
      <c r="E114" s="114">
        <v>-14.4</v>
      </c>
      <c r="F114" s="114">
        <v>-10.5</v>
      </c>
      <c r="G114" s="114">
        <v>-13.2</v>
      </c>
      <c r="H114" s="114">
        <v>1.2</v>
      </c>
      <c r="I114" s="114">
        <v>-5</v>
      </c>
      <c r="J114" s="114">
        <v>0</v>
      </c>
      <c r="K114" s="114">
        <v>2</v>
      </c>
      <c r="L114" s="114">
        <v>6.3</v>
      </c>
      <c r="M114" s="114">
        <v>8.1</v>
      </c>
      <c r="N114" s="114">
        <v>2.2999999999999998</v>
      </c>
      <c r="O114" s="114">
        <v>2</v>
      </c>
      <c r="P114" s="114">
        <v>0</v>
      </c>
      <c r="Q114" s="114">
        <v>0</v>
      </c>
      <c r="R114" s="114">
        <v>-1.1000000000000001</v>
      </c>
      <c r="S114" s="114">
        <v>-2</v>
      </c>
      <c r="T114" s="114">
        <v>0</v>
      </c>
      <c r="U114" s="114"/>
      <c r="V114" s="114">
        <v>-2.2999999999999998</v>
      </c>
      <c r="W114" s="114">
        <v>-2.2999999999999998</v>
      </c>
      <c r="X114" s="114">
        <v>-2.2999999999999998</v>
      </c>
      <c r="Y114" s="114">
        <v>17</v>
      </c>
      <c r="Z114" s="114">
        <v>16</v>
      </c>
      <c r="AA114" s="114">
        <v>6</v>
      </c>
      <c r="AB114" s="114">
        <v>-4.2</v>
      </c>
      <c r="AC114" s="114">
        <v>-5</v>
      </c>
      <c r="AD114" s="114">
        <v>-5</v>
      </c>
      <c r="AE114" s="114">
        <v>-5</v>
      </c>
      <c r="AF114" s="114">
        <v>-12</v>
      </c>
      <c r="AG114" s="113">
        <v>60</v>
      </c>
      <c r="AH114" s="47">
        <f t="shared" si="22"/>
        <v>17</v>
      </c>
      <c r="AI114" s="48">
        <f t="shared" si="23"/>
        <v>-15.2</v>
      </c>
    </row>
    <row r="115" spans="1:37" x14ac:dyDescent="0.25">
      <c r="A115" s="115" t="s">
        <v>123</v>
      </c>
      <c r="B115" s="116">
        <v>22.2</v>
      </c>
      <c r="C115" s="116">
        <v>22.3</v>
      </c>
      <c r="D115" s="116">
        <v>22.4</v>
      </c>
      <c r="E115" s="116">
        <v>22.3</v>
      </c>
      <c r="F115" s="116">
        <v>22.9</v>
      </c>
      <c r="G115" s="116">
        <v>24.8</v>
      </c>
      <c r="H115" s="116">
        <v>24.2</v>
      </c>
      <c r="I115" s="116">
        <v>26.9</v>
      </c>
      <c r="J115" s="116">
        <v>31</v>
      </c>
      <c r="K115" s="116">
        <v>29</v>
      </c>
      <c r="L115" s="116">
        <v>31.2</v>
      </c>
      <c r="M115" s="116">
        <v>35.200000000000003</v>
      </c>
      <c r="N115" s="116">
        <v>25.4</v>
      </c>
      <c r="O115" s="116">
        <v>33.5</v>
      </c>
      <c r="P115" s="116">
        <v>33.799999999999997</v>
      </c>
      <c r="Q115" s="116">
        <v>30</v>
      </c>
      <c r="R115" s="116">
        <v>30</v>
      </c>
      <c r="S115" s="116">
        <v>25.6</v>
      </c>
      <c r="T115" s="116">
        <v>26</v>
      </c>
      <c r="U115" s="116"/>
      <c r="V115" s="116">
        <v>25</v>
      </c>
      <c r="W115" s="116">
        <v>25</v>
      </c>
      <c r="X115" s="116">
        <v>25</v>
      </c>
      <c r="Y115" s="116">
        <v>56</v>
      </c>
      <c r="Z115" s="116">
        <v>56</v>
      </c>
      <c r="AA115" s="116">
        <v>48</v>
      </c>
      <c r="AB115" s="116">
        <v>48.1</v>
      </c>
      <c r="AC115" s="116">
        <v>33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22"/>
        <v>56</v>
      </c>
      <c r="AI115" s="48">
        <f t="shared" si="23"/>
        <v>0</v>
      </c>
    </row>
    <row r="116" spans="1:37" x14ac:dyDescent="0.25">
      <c r="A116" s="115" t="s">
        <v>124</v>
      </c>
      <c r="B116" s="116">
        <v>44.2</v>
      </c>
      <c r="C116" s="116">
        <v>42.7</v>
      </c>
      <c r="D116" s="116">
        <v>52</v>
      </c>
      <c r="E116" s="116">
        <v>38.200000000000003</v>
      </c>
      <c r="F116" s="116">
        <v>41.5</v>
      </c>
      <c r="G116" s="116">
        <v>40.5</v>
      </c>
      <c r="H116" s="116">
        <v>37.299999999999997</v>
      </c>
      <c r="I116" s="116">
        <v>36.4</v>
      </c>
      <c r="J116" s="116">
        <v>24.3</v>
      </c>
      <c r="K116" s="116">
        <v>25</v>
      </c>
      <c r="L116" s="116">
        <v>88</v>
      </c>
      <c r="M116" s="116">
        <v>32.700000000000003</v>
      </c>
      <c r="N116" s="116">
        <v>16.600000000000001</v>
      </c>
      <c r="O116" s="116">
        <v>48</v>
      </c>
      <c r="P116" s="116">
        <v>49.5</v>
      </c>
      <c r="Q116" s="116">
        <v>33.1</v>
      </c>
      <c r="R116" s="116">
        <v>32.799999999999997</v>
      </c>
      <c r="S116" s="116">
        <v>32</v>
      </c>
      <c r="T116" s="116">
        <v>71</v>
      </c>
      <c r="U116" s="116"/>
      <c r="V116" s="116">
        <v>33</v>
      </c>
      <c r="W116" s="116">
        <v>33</v>
      </c>
      <c r="X116" s="116">
        <v>33</v>
      </c>
      <c r="Y116" s="116">
        <v>48.2</v>
      </c>
      <c r="Z116" s="116">
        <v>24</v>
      </c>
      <c r="AA116" s="116">
        <v>58</v>
      </c>
      <c r="AB116" s="116">
        <v>38.6</v>
      </c>
      <c r="AC116" s="116">
        <v>49</v>
      </c>
      <c r="AD116" s="116">
        <v>34</v>
      </c>
      <c r="AE116" s="116">
        <v>34</v>
      </c>
      <c r="AF116" s="116">
        <v>72</v>
      </c>
      <c r="AG116" s="117"/>
      <c r="AH116" s="47">
        <f t="shared" si="22"/>
        <v>88</v>
      </c>
      <c r="AI116" s="48">
        <f t="shared" si="23"/>
        <v>16.600000000000001</v>
      </c>
    </row>
    <row r="117" spans="1:37" x14ac:dyDescent="0.25">
      <c r="A117" s="115" t="s">
        <v>125</v>
      </c>
      <c r="B117" s="116">
        <v>18.600000000000001</v>
      </c>
      <c r="C117" s="116">
        <v>4.4000000000000004</v>
      </c>
      <c r="D117" s="116">
        <v>28.2</v>
      </c>
      <c r="E117" s="116">
        <v>27.4</v>
      </c>
      <c r="F117" s="116">
        <v>21.7</v>
      </c>
      <c r="G117" s="116">
        <v>15.8</v>
      </c>
      <c r="H117" s="116">
        <v>10.9</v>
      </c>
      <c r="I117" s="116">
        <v>9</v>
      </c>
      <c r="J117" s="116">
        <v>5.8</v>
      </c>
      <c r="K117" s="116">
        <v>6</v>
      </c>
      <c r="L117" s="116">
        <v>1.7</v>
      </c>
      <c r="M117" s="116">
        <v>-2.6</v>
      </c>
      <c r="N117" s="116">
        <v>-13.1</v>
      </c>
      <c r="O117" s="116">
        <v>-20</v>
      </c>
      <c r="P117" s="116">
        <v>-10.3</v>
      </c>
      <c r="Q117" s="116">
        <v>-14.6</v>
      </c>
      <c r="R117" s="116">
        <v>-9.6999999999999993</v>
      </c>
      <c r="S117" s="116">
        <v>-17</v>
      </c>
      <c r="T117" s="116">
        <v>-13</v>
      </c>
      <c r="U117" s="116"/>
      <c r="V117" s="116">
        <v>18</v>
      </c>
      <c r="W117" s="116">
        <v>18</v>
      </c>
      <c r="X117" s="116">
        <v>18</v>
      </c>
      <c r="Y117" s="116">
        <v>-8</v>
      </c>
      <c r="Z117" s="116">
        <v>2.6</v>
      </c>
      <c r="AA117" s="116">
        <v>5.3</v>
      </c>
      <c r="AB117" s="116">
        <v>1.1000000000000001</v>
      </c>
      <c r="AC117" s="116">
        <v>0</v>
      </c>
      <c r="AD117" s="116">
        <v>0</v>
      </c>
      <c r="AE117" s="116">
        <v>0</v>
      </c>
      <c r="AF117" s="116">
        <v>14</v>
      </c>
      <c r="AG117" s="118"/>
      <c r="AH117" s="47">
        <f t="shared" si="22"/>
        <v>28.2</v>
      </c>
      <c r="AI117" s="48">
        <f t="shared" si="23"/>
        <v>-20</v>
      </c>
    </row>
    <row r="118" spans="1:37" x14ac:dyDescent="0.25">
      <c r="A118" s="119" t="s">
        <v>126</v>
      </c>
      <c r="B118" s="105">
        <v>41.1</v>
      </c>
      <c r="C118" s="105">
        <v>48.5</v>
      </c>
      <c r="D118" s="105">
        <v>52.2</v>
      </c>
      <c r="E118" s="105">
        <v>53.6</v>
      </c>
      <c r="F118" s="105">
        <v>56.4</v>
      </c>
      <c r="G118" s="105">
        <v>58.5</v>
      </c>
      <c r="H118" s="105">
        <v>67.400000000000006</v>
      </c>
      <c r="I118" s="105">
        <v>62.6</v>
      </c>
      <c r="J118" s="105">
        <v>60.4</v>
      </c>
      <c r="K118" s="105">
        <v>62</v>
      </c>
      <c r="L118" s="105">
        <v>52.6</v>
      </c>
      <c r="M118" s="105">
        <v>50.9</v>
      </c>
      <c r="N118" s="105">
        <v>47.3</v>
      </c>
      <c r="O118" s="105">
        <v>50.7</v>
      </c>
      <c r="P118" s="105">
        <v>44.1</v>
      </c>
      <c r="Q118" s="105">
        <v>47.1</v>
      </c>
      <c r="R118" s="105">
        <v>18.5</v>
      </c>
      <c r="S118" s="105">
        <v>18</v>
      </c>
      <c r="T118" s="105">
        <v>31</v>
      </c>
      <c r="U118" s="105"/>
      <c r="V118" s="105">
        <v>40</v>
      </c>
      <c r="W118" s="105">
        <v>40</v>
      </c>
      <c r="X118" s="105">
        <v>40</v>
      </c>
      <c r="Y118" s="105">
        <v>-12</v>
      </c>
      <c r="Z118" s="105">
        <v>4</v>
      </c>
      <c r="AA118" s="105">
        <v>21</v>
      </c>
      <c r="AB118" s="105">
        <v>23.7</v>
      </c>
      <c r="AC118" s="105">
        <v>29</v>
      </c>
      <c r="AD118" s="105">
        <v>27</v>
      </c>
      <c r="AE118" s="105">
        <v>27</v>
      </c>
      <c r="AF118" s="105">
        <v>30</v>
      </c>
      <c r="AG118" s="118"/>
      <c r="AH118" s="47">
        <f t="shared" si="22"/>
        <v>67.400000000000006</v>
      </c>
      <c r="AI118" s="48">
        <f t="shared" si="23"/>
        <v>-12</v>
      </c>
    </row>
    <row r="119" spans="1:37" x14ac:dyDescent="0.25">
      <c r="A119" s="120" t="s">
        <v>127</v>
      </c>
      <c r="B119" s="105">
        <v>101.4</v>
      </c>
      <c r="C119" s="105">
        <v>96</v>
      </c>
      <c r="D119" s="105">
        <v>91.5</v>
      </c>
      <c r="E119" s="105">
        <v>103.4</v>
      </c>
      <c r="F119" s="105">
        <v>91.3</v>
      </c>
      <c r="G119" s="105">
        <v>93</v>
      </c>
      <c r="H119" s="105">
        <v>100</v>
      </c>
      <c r="I119" s="105">
        <v>89.4</v>
      </c>
      <c r="J119" s="105">
        <v>91</v>
      </c>
      <c r="K119" s="105">
        <v>92</v>
      </c>
      <c r="L119" s="105">
        <v>81.900000000000006</v>
      </c>
      <c r="M119" s="105">
        <v>82.3</v>
      </c>
      <c r="N119" s="105">
        <v>81.3</v>
      </c>
      <c r="O119" s="105">
        <v>89.4</v>
      </c>
      <c r="P119" s="105">
        <v>89</v>
      </c>
      <c r="Q119" s="105">
        <v>95</v>
      </c>
      <c r="R119" s="105">
        <v>94.2</v>
      </c>
      <c r="S119" s="105">
        <v>95</v>
      </c>
      <c r="T119" s="105">
        <v>79</v>
      </c>
      <c r="U119" s="105"/>
      <c r="V119" s="105">
        <v>73</v>
      </c>
      <c r="W119" s="105">
        <v>73</v>
      </c>
      <c r="X119" s="105">
        <v>73</v>
      </c>
      <c r="Y119" s="105">
        <v>81</v>
      </c>
      <c r="Z119" s="105">
        <v>87</v>
      </c>
      <c r="AA119" s="105">
        <v>83</v>
      </c>
      <c r="AB119" s="105">
        <v>85.1</v>
      </c>
      <c r="AC119" s="105">
        <v>83</v>
      </c>
      <c r="AD119" s="105">
        <v>83</v>
      </c>
      <c r="AE119" s="105">
        <v>83</v>
      </c>
      <c r="AF119" s="105">
        <v>86</v>
      </c>
      <c r="AG119" s="118"/>
      <c r="AH119" s="47">
        <f t="shared" si="22"/>
        <v>103.4</v>
      </c>
      <c r="AI119" s="48">
        <f t="shared" si="23"/>
        <v>73</v>
      </c>
    </row>
    <row r="120" spans="1:37" ht="15.75" thickBot="1" x14ac:dyDescent="0.3">
      <c r="A120" s="119" t="s">
        <v>128</v>
      </c>
      <c r="B120" s="105">
        <v>29.9</v>
      </c>
      <c r="C120" s="105">
        <v>31.1</v>
      </c>
      <c r="D120" s="105">
        <v>23.5</v>
      </c>
      <c r="E120" s="105">
        <v>24</v>
      </c>
      <c r="F120" s="105">
        <v>56.4</v>
      </c>
      <c r="G120" s="105">
        <v>10.3</v>
      </c>
      <c r="H120" s="105">
        <v>-1.4</v>
      </c>
      <c r="I120" s="105">
        <v>-0.8</v>
      </c>
      <c r="J120" s="105">
        <v>-2</v>
      </c>
      <c r="K120" s="105">
        <v>-3</v>
      </c>
      <c r="L120" s="105">
        <v>-6.7</v>
      </c>
      <c r="M120" s="105">
        <v>-2</v>
      </c>
      <c r="N120" s="105">
        <v>-1.6</v>
      </c>
      <c r="O120" s="105">
        <v>-5.8</v>
      </c>
      <c r="P120" s="105">
        <v>-0.1</v>
      </c>
      <c r="Q120" s="105">
        <v>0.8</v>
      </c>
      <c r="R120" s="105">
        <v>22.5</v>
      </c>
      <c r="S120" s="105">
        <v>16.2</v>
      </c>
      <c r="T120" s="105">
        <v>11</v>
      </c>
      <c r="U120" s="105"/>
      <c r="V120" s="105">
        <v>3</v>
      </c>
      <c r="W120" s="105">
        <v>3</v>
      </c>
      <c r="X120" s="105">
        <v>3</v>
      </c>
      <c r="Y120" s="105">
        <v>-5</v>
      </c>
      <c r="Z120" s="105">
        <v>43</v>
      </c>
      <c r="AA120" s="105">
        <v>39</v>
      </c>
      <c r="AB120" s="105">
        <v>42</v>
      </c>
      <c r="AC120" s="105">
        <v>42</v>
      </c>
      <c r="AD120" s="105">
        <v>41</v>
      </c>
      <c r="AE120" s="105">
        <v>40</v>
      </c>
      <c r="AF120" s="105">
        <v>43</v>
      </c>
      <c r="AG120" s="118"/>
      <c r="AH120" s="47">
        <f t="shared" si="22"/>
        <v>56.4</v>
      </c>
      <c r="AI120" s="48">
        <f t="shared" si="23"/>
        <v>-6.7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53">SUM(B122:B226)</f>
        <v>0</v>
      </c>
      <c r="C227" s="136">
        <f t="shared" si="53"/>
        <v>0</v>
      </c>
      <c r="D227" s="136">
        <f t="shared" si="53"/>
        <v>0</v>
      </c>
      <c r="E227" s="136">
        <f t="shared" si="53"/>
        <v>0</v>
      </c>
      <c r="F227" s="136">
        <f t="shared" si="53"/>
        <v>0</v>
      </c>
      <c r="G227" s="136">
        <f t="shared" si="53"/>
        <v>0</v>
      </c>
      <c r="H227" s="136">
        <f t="shared" si="53"/>
        <v>0</v>
      </c>
      <c r="I227" s="136">
        <f t="shared" si="53"/>
        <v>0</v>
      </c>
      <c r="J227" s="136">
        <f t="shared" si="53"/>
        <v>0</v>
      </c>
      <c r="K227" s="136">
        <f t="shared" si="53"/>
        <v>0</v>
      </c>
      <c r="L227" s="136">
        <f t="shared" si="53"/>
        <v>0</v>
      </c>
      <c r="M227" s="136">
        <f t="shared" si="53"/>
        <v>0</v>
      </c>
      <c r="N227" s="136">
        <f t="shared" si="53"/>
        <v>0</v>
      </c>
      <c r="O227" s="136">
        <f t="shared" si="53"/>
        <v>0</v>
      </c>
      <c r="P227" s="136">
        <f t="shared" si="53"/>
        <v>0</v>
      </c>
      <c r="Q227" s="136">
        <f t="shared" si="53"/>
        <v>0</v>
      </c>
      <c r="R227" s="136">
        <f t="shared" si="53"/>
        <v>0</v>
      </c>
      <c r="S227" s="136">
        <f t="shared" si="53"/>
        <v>0</v>
      </c>
      <c r="T227" s="136">
        <f t="shared" si="53"/>
        <v>0</v>
      </c>
      <c r="U227" s="136">
        <f t="shared" si="53"/>
        <v>0</v>
      </c>
      <c r="V227" s="136">
        <f t="shared" si="53"/>
        <v>0</v>
      </c>
      <c r="W227" s="136">
        <f t="shared" si="53"/>
        <v>0</v>
      </c>
      <c r="X227" s="136">
        <f t="shared" si="53"/>
        <v>0</v>
      </c>
      <c r="Y227" s="136">
        <f t="shared" si="53"/>
        <v>0</v>
      </c>
      <c r="Z227" s="136">
        <f t="shared" si="53"/>
        <v>0</v>
      </c>
      <c r="AA227" s="136">
        <f t="shared" si="53"/>
        <v>0</v>
      </c>
      <c r="AB227" s="136">
        <f t="shared" si="53"/>
        <v>0</v>
      </c>
      <c r="AC227" s="136">
        <f t="shared" si="53"/>
        <v>0</v>
      </c>
      <c r="AD227" s="136">
        <f t="shared" si="53"/>
        <v>0</v>
      </c>
      <c r="AE227" s="136">
        <f t="shared" si="53"/>
        <v>0</v>
      </c>
      <c r="AF227" s="137">
        <f t="shared" si="53"/>
        <v>0</v>
      </c>
      <c r="AG227" s="138">
        <f t="shared" si="53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54">AF229</f>
        <v>0</v>
      </c>
      <c r="C229" s="140">
        <v>0.3</v>
      </c>
      <c r="D229" s="140">
        <f t="shared" ref="D229:P234" si="55">C229</f>
        <v>0.3</v>
      </c>
      <c r="E229" s="140">
        <f t="shared" si="55"/>
        <v>0.3</v>
      </c>
      <c r="F229" s="140">
        <f t="shared" si="55"/>
        <v>0.3</v>
      </c>
      <c r="G229" s="140">
        <f t="shared" si="55"/>
        <v>0.3</v>
      </c>
      <c r="H229" s="140">
        <f t="shared" si="55"/>
        <v>0.3</v>
      </c>
      <c r="I229" s="140">
        <f t="shared" si="55"/>
        <v>0.3</v>
      </c>
      <c r="J229" s="140">
        <f t="shared" si="55"/>
        <v>0.3</v>
      </c>
      <c r="K229" s="140">
        <f t="shared" si="55"/>
        <v>0.3</v>
      </c>
      <c r="L229" s="140">
        <f t="shared" si="55"/>
        <v>0.3</v>
      </c>
      <c r="M229" s="140">
        <f t="shared" si="55"/>
        <v>0.3</v>
      </c>
      <c r="N229" s="140">
        <f t="shared" si="55"/>
        <v>0.3</v>
      </c>
      <c r="O229" s="140">
        <f t="shared" si="55"/>
        <v>0.3</v>
      </c>
      <c r="P229" s="140">
        <f t="shared" si="55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54"/>
        <v>0</v>
      </c>
      <c r="C230" s="128">
        <v>0.4</v>
      </c>
      <c r="D230" s="128">
        <f t="shared" si="55"/>
        <v>0.4</v>
      </c>
      <c r="E230" s="128">
        <f t="shared" si="55"/>
        <v>0.4</v>
      </c>
      <c r="F230" s="128">
        <f t="shared" si="55"/>
        <v>0.4</v>
      </c>
      <c r="G230" s="128">
        <f t="shared" si="55"/>
        <v>0.4</v>
      </c>
      <c r="H230" s="128">
        <f t="shared" si="55"/>
        <v>0.4</v>
      </c>
      <c r="I230" s="128">
        <f t="shared" si="55"/>
        <v>0.4</v>
      </c>
      <c r="J230" s="128">
        <f t="shared" si="55"/>
        <v>0.4</v>
      </c>
      <c r="K230" s="128">
        <f t="shared" si="55"/>
        <v>0.4</v>
      </c>
      <c r="L230" s="128">
        <f t="shared" si="55"/>
        <v>0.4</v>
      </c>
      <c r="M230" s="128">
        <f t="shared" si="55"/>
        <v>0.4</v>
      </c>
      <c r="N230" s="128">
        <f t="shared" si="55"/>
        <v>0.4</v>
      </c>
      <c r="O230" s="128">
        <f t="shared" si="55"/>
        <v>0.4</v>
      </c>
      <c r="P230" s="128">
        <f t="shared" si="55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54"/>
        <v>0</v>
      </c>
      <c r="C231" s="128">
        <v>1.5</v>
      </c>
      <c r="D231" s="128">
        <f t="shared" si="55"/>
        <v>1.5</v>
      </c>
      <c r="E231" s="128">
        <f t="shared" si="55"/>
        <v>1.5</v>
      </c>
      <c r="F231" s="128">
        <f t="shared" si="55"/>
        <v>1.5</v>
      </c>
      <c r="G231" s="128">
        <f t="shared" si="55"/>
        <v>1.5</v>
      </c>
      <c r="H231" s="128">
        <f t="shared" si="55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55"/>
        <v>123.21900000000009</v>
      </c>
      <c r="K231" s="128">
        <f t="shared" ca="1" si="55"/>
        <v>123.21900000000009</v>
      </c>
      <c r="L231" s="128">
        <f t="shared" ca="1" si="55"/>
        <v>123.21900000000009</v>
      </c>
      <c r="M231" s="128">
        <f t="shared" ca="1" si="55"/>
        <v>119.19900000000008</v>
      </c>
      <c r="N231" s="128">
        <f t="shared" ca="1" si="55"/>
        <v>119.19900000000008</v>
      </c>
      <c r="O231" s="128">
        <f t="shared" ca="1" si="55"/>
        <v>119.19900000000008</v>
      </c>
      <c r="P231" s="128">
        <f t="shared" ca="1" si="55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54"/>
        <v>0</v>
      </c>
      <c r="C232" s="128">
        <v>0.3</v>
      </c>
      <c r="D232" s="128">
        <f t="shared" si="55"/>
        <v>0.3</v>
      </c>
      <c r="E232" s="128">
        <f t="shared" si="55"/>
        <v>0.3</v>
      </c>
      <c r="F232" s="128">
        <f t="shared" si="55"/>
        <v>0.3</v>
      </c>
      <c r="G232" s="128">
        <f t="shared" si="55"/>
        <v>0.3</v>
      </c>
      <c r="H232" s="128">
        <f t="shared" si="55"/>
        <v>0.3</v>
      </c>
      <c r="I232" s="128">
        <f t="shared" si="55"/>
        <v>0.3</v>
      </c>
      <c r="J232" s="128">
        <f t="shared" si="55"/>
        <v>0.3</v>
      </c>
      <c r="K232" s="128">
        <f t="shared" si="55"/>
        <v>0.3</v>
      </c>
      <c r="L232" s="128">
        <f t="shared" si="55"/>
        <v>0.3</v>
      </c>
      <c r="M232" s="128">
        <f t="shared" si="55"/>
        <v>0.3</v>
      </c>
      <c r="N232" s="128">
        <f t="shared" si="55"/>
        <v>0.3</v>
      </c>
      <c r="O232" s="128">
        <f t="shared" si="55"/>
        <v>0.3</v>
      </c>
      <c r="P232" s="128">
        <f t="shared" si="55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54"/>
        <v>0</v>
      </c>
      <c r="C233" s="128">
        <v>0.4</v>
      </c>
      <c r="D233" s="128">
        <f t="shared" si="55"/>
        <v>0.4</v>
      </c>
      <c r="E233" s="128">
        <f t="shared" si="55"/>
        <v>0.4</v>
      </c>
      <c r="F233" s="128">
        <f t="shared" si="55"/>
        <v>0.4</v>
      </c>
      <c r="G233" s="128">
        <f t="shared" si="55"/>
        <v>0.4</v>
      </c>
      <c r="H233" s="128">
        <f t="shared" si="55"/>
        <v>0.4</v>
      </c>
      <c r="I233" s="128">
        <f t="shared" si="55"/>
        <v>0.4</v>
      </c>
      <c r="J233" s="128">
        <f t="shared" si="55"/>
        <v>0.4</v>
      </c>
      <c r="K233" s="128">
        <f t="shared" si="55"/>
        <v>0.4</v>
      </c>
      <c r="L233" s="128">
        <f t="shared" si="55"/>
        <v>0.4</v>
      </c>
      <c r="M233" s="128">
        <f t="shared" si="55"/>
        <v>0.4</v>
      </c>
      <c r="N233" s="128">
        <f t="shared" si="55"/>
        <v>0.4</v>
      </c>
      <c r="O233" s="128">
        <f t="shared" si="55"/>
        <v>0.4</v>
      </c>
      <c r="P233" s="128">
        <f t="shared" si="55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54"/>
        <v>0</v>
      </c>
      <c r="C234" s="132">
        <v>0.64</v>
      </c>
      <c r="D234" s="132">
        <f t="shared" si="55"/>
        <v>0.64</v>
      </c>
      <c r="E234" s="132">
        <f t="shared" si="55"/>
        <v>0.64</v>
      </c>
      <c r="F234" s="132">
        <f t="shared" si="55"/>
        <v>0.64</v>
      </c>
      <c r="G234" s="132">
        <f t="shared" si="55"/>
        <v>0.64</v>
      </c>
      <c r="H234" s="132">
        <f t="shared" si="55"/>
        <v>0.64</v>
      </c>
      <c r="I234" s="132">
        <f t="shared" si="55"/>
        <v>0.64</v>
      </c>
      <c r="J234" s="132">
        <f t="shared" si="55"/>
        <v>0.64</v>
      </c>
      <c r="K234" s="132">
        <f t="shared" si="55"/>
        <v>0.64</v>
      </c>
      <c r="L234" s="132">
        <f t="shared" si="55"/>
        <v>0.64</v>
      </c>
      <c r="M234" s="132">
        <f t="shared" si="55"/>
        <v>0.64</v>
      </c>
      <c r="N234" s="132">
        <f t="shared" si="55"/>
        <v>0.64</v>
      </c>
      <c r="O234" s="132">
        <f t="shared" si="55"/>
        <v>0.64</v>
      </c>
      <c r="P234" s="132">
        <f t="shared" si="55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56">SUM(B229:B234)</f>
        <v>0</v>
      </c>
      <c r="C235" s="136">
        <f t="shared" si="56"/>
        <v>3.54</v>
      </c>
      <c r="D235" s="136">
        <f t="shared" si="56"/>
        <v>3.54</v>
      </c>
      <c r="E235" s="136">
        <f t="shared" si="56"/>
        <v>3.54</v>
      </c>
      <c r="F235" s="136">
        <f t="shared" si="56"/>
        <v>3.54</v>
      </c>
      <c r="G235" s="136">
        <f t="shared" si="56"/>
        <v>3.54</v>
      </c>
      <c r="H235" s="136">
        <f t="shared" si="56"/>
        <v>3.54</v>
      </c>
      <c r="I235" s="136">
        <f t="shared" ca="1" si="56"/>
        <v>121.23900000000009</v>
      </c>
      <c r="J235" s="136">
        <f t="shared" ca="1" si="56"/>
        <v>121.23900000000009</v>
      </c>
      <c r="K235" s="136">
        <f t="shared" ca="1" si="56"/>
        <v>121.23900000000009</v>
      </c>
      <c r="L235" s="136">
        <f t="shared" ca="1" si="56"/>
        <v>125.2590000000001</v>
      </c>
      <c r="M235" s="136">
        <f t="shared" ca="1" si="56"/>
        <v>121.23900000000009</v>
      </c>
      <c r="N235" s="136">
        <f t="shared" ca="1" si="56"/>
        <v>121.23900000000009</v>
      </c>
      <c r="O235" s="136">
        <f t="shared" ca="1" si="56"/>
        <v>121.23900000000009</v>
      </c>
      <c r="P235" s="136">
        <f t="shared" ca="1" si="56"/>
        <v>121.23900000000009</v>
      </c>
      <c r="Q235" s="136">
        <f t="shared" si="56"/>
        <v>0</v>
      </c>
      <c r="R235" s="136">
        <f t="shared" si="56"/>
        <v>0</v>
      </c>
      <c r="S235" s="136">
        <f t="shared" si="56"/>
        <v>0</v>
      </c>
      <c r="T235" s="136">
        <f t="shared" si="56"/>
        <v>0</v>
      </c>
      <c r="U235" s="136">
        <f t="shared" si="56"/>
        <v>0</v>
      </c>
      <c r="V235" s="136">
        <f t="shared" si="56"/>
        <v>0</v>
      </c>
      <c r="W235" s="136">
        <f t="shared" si="56"/>
        <v>0</v>
      </c>
      <c r="X235" s="136">
        <f t="shared" si="56"/>
        <v>0</v>
      </c>
      <c r="Y235" s="136">
        <f t="shared" si="56"/>
        <v>0</v>
      </c>
      <c r="Z235" s="136">
        <f t="shared" si="56"/>
        <v>0</v>
      </c>
      <c r="AA235" s="136">
        <f t="shared" si="56"/>
        <v>0</v>
      </c>
      <c r="AB235" s="136">
        <f t="shared" si="56"/>
        <v>0</v>
      </c>
      <c r="AC235" s="136">
        <f t="shared" si="56"/>
        <v>0</v>
      </c>
      <c r="AD235" s="136">
        <f t="shared" si="56"/>
        <v>0</v>
      </c>
      <c r="AE235" s="136">
        <f t="shared" si="56"/>
        <v>0</v>
      </c>
      <c r="AF235" s="136">
        <f t="shared" si="56"/>
        <v>0</v>
      </c>
      <c r="AG235" s="145">
        <f t="shared" si="56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2128.84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30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2080/05/30)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2080/05/30)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57">B91</f>
        <v>2112.04</v>
      </c>
      <c r="U249" s="170">
        <f t="shared" si="57"/>
        <v>2102.04</v>
      </c>
      <c r="V249" s="170">
        <f t="shared" si="57"/>
        <v>2103.14</v>
      </c>
      <c r="W249" s="170">
        <f t="shared" si="57"/>
        <v>2118.84</v>
      </c>
      <c r="X249" s="170">
        <f t="shared" si="57"/>
        <v>2062.44</v>
      </c>
      <c r="Y249" s="170">
        <f t="shared" si="57"/>
        <v>2074.14</v>
      </c>
      <c r="Z249" s="170">
        <f t="shared" si="57"/>
        <v>2078.3399999999997</v>
      </c>
      <c r="AA249" s="170">
        <f t="shared" si="57"/>
        <v>2078.3399999999997</v>
      </c>
      <c r="AB249" s="170">
        <f t="shared" si="57"/>
        <v>2078.3399999999997</v>
      </c>
      <c r="AC249" s="170">
        <f t="shared" si="57"/>
        <v>2078.3399999999997</v>
      </c>
      <c r="AD249" s="170">
        <f t="shared" si="57"/>
        <v>2099.7399999999998</v>
      </c>
      <c r="AE249" s="170">
        <f t="shared" si="57"/>
        <v>2101.7400000000002</v>
      </c>
      <c r="AF249" s="170">
        <f t="shared" si="57"/>
        <v>2128.84</v>
      </c>
      <c r="AG249" s="170">
        <f t="shared" si="57"/>
        <v>2123.54</v>
      </c>
      <c r="AH249" s="170">
        <f t="shared" si="57"/>
        <v>2089.2399999999998</v>
      </c>
      <c r="AI249" s="170">
        <f t="shared" si="57"/>
        <v>2093.8399999999997</v>
      </c>
      <c r="AJ249" s="170">
        <f t="shared" si="57"/>
        <v>2086.44</v>
      </c>
      <c r="AK249" s="170">
        <f t="shared" si="57"/>
        <v>2083.54</v>
      </c>
      <c r="AL249" s="170">
        <f t="shared" si="57"/>
        <v>2080.6400000000003</v>
      </c>
      <c r="AM249" s="170">
        <f t="shared" si="57"/>
        <v>3.54</v>
      </c>
      <c r="AN249" s="170">
        <f t="shared" si="57"/>
        <v>2047.8400000000001</v>
      </c>
      <c r="AO249" s="170">
        <f t="shared" si="57"/>
        <v>2036.14</v>
      </c>
      <c r="AP249" s="170">
        <f t="shared" si="57"/>
        <v>2102.94</v>
      </c>
      <c r="AQ249" s="170">
        <f t="shared" si="57"/>
        <v>2136.54</v>
      </c>
      <c r="AR249" s="170">
        <f t="shared" si="57"/>
        <v>2207.44</v>
      </c>
      <c r="AS249" s="170">
        <f t="shared" si="57"/>
        <v>2201.04</v>
      </c>
      <c r="AT249" s="170">
        <f t="shared" si="57"/>
        <v>2185.34</v>
      </c>
      <c r="AU249" s="170">
        <f t="shared" si="57"/>
        <v>2150.44</v>
      </c>
      <c r="AV249" s="170">
        <f t="shared" si="57"/>
        <v>2118.6400000000003</v>
      </c>
      <c r="AW249" s="170">
        <f t="shared" si="57"/>
        <v>2113.6400000000003</v>
      </c>
      <c r="AX249" s="170">
        <f t="shared" si="57"/>
        <v>2040.8400000000001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58">C234</f>
        <v>0.64</v>
      </c>
      <c r="C270" s="173">
        <f t="shared" si="58"/>
        <v>0.64</v>
      </c>
      <c r="D270" s="173">
        <f t="shared" si="58"/>
        <v>0.64</v>
      </c>
      <c r="E270" s="173">
        <f t="shared" si="58"/>
        <v>0.64</v>
      </c>
      <c r="F270" s="173">
        <f t="shared" si="58"/>
        <v>0.64</v>
      </c>
      <c r="G270" s="173">
        <f t="shared" si="58"/>
        <v>0.64</v>
      </c>
      <c r="H270" s="173">
        <f t="shared" si="58"/>
        <v>0.64</v>
      </c>
      <c r="I270" s="173">
        <f t="shared" si="58"/>
        <v>0.64</v>
      </c>
      <c r="J270" s="173">
        <f t="shared" si="58"/>
        <v>0.64</v>
      </c>
      <c r="K270" s="173">
        <f t="shared" si="58"/>
        <v>0.64</v>
      </c>
      <c r="L270" s="173">
        <f t="shared" si="58"/>
        <v>0.64</v>
      </c>
      <c r="M270" s="173">
        <f t="shared" si="58"/>
        <v>0.64</v>
      </c>
      <c r="N270" s="173">
        <f t="shared" si="58"/>
        <v>0.64</v>
      </c>
      <c r="O270" s="173">
        <f t="shared" si="58"/>
        <v>0.64</v>
      </c>
      <c r="P270" s="173">
        <f t="shared" si="58"/>
        <v>0</v>
      </c>
      <c r="Q270" s="173">
        <f t="shared" si="58"/>
        <v>0</v>
      </c>
      <c r="R270" s="173">
        <f t="shared" si="58"/>
        <v>0</v>
      </c>
      <c r="S270" s="173">
        <f t="shared" si="58"/>
        <v>0</v>
      </c>
      <c r="T270" s="173">
        <f t="shared" si="58"/>
        <v>0</v>
      </c>
      <c r="U270" s="173">
        <f t="shared" si="58"/>
        <v>0</v>
      </c>
      <c r="V270" s="173">
        <f t="shared" si="58"/>
        <v>0</v>
      </c>
      <c r="W270" s="173">
        <f t="shared" si="58"/>
        <v>0</v>
      </c>
      <c r="X270" s="173">
        <f t="shared" si="58"/>
        <v>0</v>
      </c>
      <c r="Y270" s="173">
        <f t="shared" si="58"/>
        <v>0</v>
      </c>
      <c r="Z270" s="173">
        <f t="shared" si="58"/>
        <v>0</v>
      </c>
      <c r="AA270" s="173">
        <f t="shared" si="58"/>
        <v>0</v>
      </c>
      <c r="AB270" s="173">
        <f t="shared" si="58"/>
        <v>0</v>
      </c>
      <c r="AC270" s="173">
        <f t="shared" si="58"/>
        <v>0</v>
      </c>
      <c r="AD270" s="173">
        <f t="shared" si="58"/>
        <v>0</v>
      </c>
      <c r="AE270" s="173">
        <f t="shared" si="58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59">IF(B238&lt;100,"",B238-520)</f>
        <v/>
      </c>
      <c r="C271" s="174" t="str">
        <f t="shared" si="59"/>
        <v/>
      </c>
      <c r="D271" s="174" t="str">
        <f t="shared" si="59"/>
        <v/>
      </c>
      <c r="E271" s="174" t="str">
        <f t="shared" si="59"/>
        <v/>
      </c>
      <c r="F271" s="174" t="str">
        <f t="shared" si="59"/>
        <v/>
      </c>
      <c r="G271" s="174" t="str">
        <f t="shared" si="59"/>
        <v/>
      </c>
      <c r="H271" s="174" t="str">
        <f t="shared" si="59"/>
        <v/>
      </c>
      <c r="I271" s="174" t="str">
        <f t="shared" si="59"/>
        <v/>
      </c>
      <c r="J271" s="174" t="str">
        <f t="shared" si="59"/>
        <v/>
      </c>
      <c r="K271" s="174" t="str">
        <f t="shared" si="59"/>
        <v/>
      </c>
      <c r="L271" s="174" t="str">
        <f t="shared" si="59"/>
        <v/>
      </c>
      <c r="M271" s="174" t="str">
        <f t="shared" si="59"/>
        <v/>
      </c>
      <c r="N271" s="174" t="str">
        <f t="shared" si="59"/>
        <v/>
      </c>
      <c r="O271" s="174" t="str">
        <f t="shared" si="59"/>
        <v/>
      </c>
      <c r="P271" s="174" t="str">
        <f t="shared" si="59"/>
        <v/>
      </c>
      <c r="Q271" s="174" t="str">
        <f t="shared" si="59"/>
        <v/>
      </c>
      <c r="R271" s="174" t="str">
        <f t="shared" si="59"/>
        <v/>
      </c>
      <c r="S271" s="174" t="str">
        <f t="shared" si="59"/>
        <v/>
      </c>
      <c r="T271" s="174" t="str">
        <f t="shared" si="59"/>
        <v/>
      </c>
      <c r="U271" s="174" t="str">
        <f t="shared" si="59"/>
        <v/>
      </c>
      <c r="V271" s="174" t="str">
        <f t="shared" si="59"/>
        <v/>
      </c>
      <c r="W271" s="174" t="str">
        <f t="shared" si="59"/>
        <v/>
      </c>
      <c r="X271" s="174" t="str">
        <f t="shared" si="59"/>
        <v/>
      </c>
      <c r="Y271" s="174" t="str">
        <f t="shared" si="59"/>
        <v/>
      </c>
      <c r="Z271" s="174" t="str">
        <f t="shared" si="59"/>
        <v/>
      </c>
      <c r="AA271" s="174" t="str">
        <f t="shared" si="59"/>
        <v/>
      </c>
      <c r="AB271" s="174" t="str">
        <f t="shared" si="59"/>
        <v/>
      </c>
      <c r="AC271" s="174" t="str">
        <f t="shared" si="59"/>
        <v/>
      </c>
      <c r="AD271" s="174" t="str">
        <f t="shared" si="59"/>
        <v/>
      </c>
      <c r="AE271" s="174" t="str">
        <f t="shared" si="59"/>
        <v/>
      </c>
      <c r="AF271" s="174" t="str">
        <f t="shared" si="59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60">IF(B239&lt;100,"",B239-620)</f>
        <v/>
      </c>
      <c r="C272" s="174" t="str">
        <f t="shared" si="60"/>
        <v/>
      </c>
      <c r="D272" s="174" t="str">
        <f t="shared" si="60"/>
        <v/>
      </c>
      <c r="E272" s="174" t="str">
        <f t="shared" si="60"/>
        <v/>
      </c>
      <c r="F272" s="174" t="str">
        <f t="shared" si="60"/>
        <v/>
      </c>
      <c r="G272" s="174" t="str">
        <f t="shared" si="60"/>
        <v/>
      </c>
      <c r="H272" s="174" t="str">
        <f t="shared" si="60"/>
        <v/>
      </c>
      <c r="I272" s="174" t="str">
        <f t="shared" si="60"/>
        <v/>
      </c>
      <c r="J272" s="174" t="str">
        <f t="shared" si="60"/>
        <v/>
      </c>
      <c r="K272" s="174" t="str">
        <f t="shared" si="60"/>
        <v/>
      </c>
      <c r="L272" s="174" t="str">
        <f t="shared" si="60"/>
        <v/>
      </c>
      <c r="M272" s="174" t="str">
        <f t="shared" si="60"/>
        <v/>
      </c>
      <c r="N272" s="174" t="str">
        <f t="shared" si="60"/>
        <v/>
      </c>
      <c r="O272" s="174" t="str">
        <f t="shared" si="60"/>
        <v/>
      </c>
      <c r="P272" s="174" t="str">
        <f t="shared" si="60"/>
        <v/>
      </c>
      <c r="Q272" s="174" t="str">
        <f t="shared" si="60"/>
        <v/>
      </c>
      <c r="R272" s="174" t="str">
        <f t="shared" si="60"/>
        <v/>
      </c>
      <c r="S272" s="174" t="str">
        <f t="shared" si="60"/>
        <v/>
      </c>
      <c r="T272" s="174" t="str">
        <f t="shared" si="60"/>
        <v/>
      </c>
      <c r="U272" s="174" t="str">
        <f t="shared" si="60"/>
        <v/>
      </c>
      <c r="V272" s="174" t="str">
        <f t="shared" si="60"/>
        <v/>
      </c>
      <c r="W272" s="174" t="str">
        <f t="shared" si="60"/>
        <v/>
      </c>
      <c r="X272" s="174" t="str">
        <f t="shared" si="60"/>
        <v/>
      </c>
      <c r="Y272" s="174" t="str">
        <f t="shared" si="60"/>
        <v/>
      </c>
      <c r="Z272" s="174" t="str">
        <f t="shared" si="60"/>
        <v/>
      </c>
      <c r="AA272" s="174" t="str">
        <f t="shared" si="60"/>
        <v/>
      </c>
      <c r="AB272" s="174" t="str">
        <f t="shared" si="60"/>
        <v/>
      </c>
      <c r="AC272" s="174" t="str">
        <f t="shared" si="60"/>
        <v/>
      </c>
      <c r="AD272" s="174" t="str">
        <f t="shared" si="60"/>
        <v/>
      </c>
      <c r="AE272" s="174" t="str">
        <f t="shared" si="60"/>
        <v/>
      </c>
      <c r="AF272" s="174" t="str">
        <f t="shared" si="60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61">IF(B240&lt;100,"",B240-330)</f>
        <v/>
      </c>
      <c r="C273" s="174" t="str">
        <f t="shared" si="61"/>
        <v/>
      </c>
      <c r="D273" s="174" t="str">
        <f t="shared" si="61"/>
        <v/>
      </c>
      <c r="E273" s="174" t="str">
        <f t="shared" si="61"/>
        <v/>
      </c>
      <c r="F273" s="174" t="str">
        <f t="shared" si="61"/>
        <v/>
      </c>
      <c r="G273" s="174" t="str">
        <f t="shared" si="61"/>
        <v/>
      </c>
      <c r="H273" s="174" t="str">
        <f t="shared" si="61"/>
        <v/>
      </c>
      <c r="I273" s="174" t="str">
        <f t="shared" si="61"/>
        <v/>
      </c>
      <c r="J273" s="174" t="str">
        <f t="shared" si="61"/>
        <v/>
      </c>
      <c r="K273" s="174" t="str">
        <f t="shared" si="61"/>
        <v/>
      </c>
      <c r="L273" s="174" t="str">
        <f t="shared" si="61"/>
        <v/>
      </c>
      <c r="M273" s="174" t="str">
        <f t="shared" si="61"/>
        <v/>
      </c>
      <c r="N273" s="174" t="str">
        <f t="shared" si="61"/>
        <v/>
      </c>
      <c r="O273" s="174" t="str">
        <f t="shared" si="61"/>
        <v/>
      </c>
      <c r="P273" s="174" t="str">
        <f t="shared" si="61"/>
        <v/>
      </c>
      <c r="Q273" s="174" t="str">
        <f t="shared" si="61"/>
        <v/>
      </c>
      <c r="R273" s="174" t="str">
        <f t="shared" si="61"/>
        <v/>
      </c>
      <c r="S273" s="174" t="str">
        <f t="shared" si="61"/>
        <v/>
      </c>
      <c r="T273" s="174" t="str">
        <f t="shared" si="61"/>
        <v/>
      </c>
      <c r="U273" s="174" t="str">
        <f t="shared" si="61"/>
        <v/>
      </c>
      <c r="V273" s="174" t="str">
        <f t="shared" si="61"/>
        <v/>
      </c>
      <c r="W273" s="174" t="str">
        <f t="shared" si="61"/>
        <v/>
      </c>
      <c r="X273" s="174" t="str">
        <f t="shared" si="61"/>
        <v/>
      </c>
      <c r="Y273" s="174" t="str">
        <f t="shared" si="61"/>
        <v/>
      </c>
      <c r="Z273" s="174" t="str">
        <f t="shared" si="61"/>
        <v/>
      </c>
      <c r="AA273" s="174" t="str">
        <f t="shared" si="61"/>
        <v/>
      </c>
      <c r="AB273" s="174" t="str">
        <f t="shared" si="61"/>
        <v/>
      </c>
      <c r="AC273" s="174" t="str">
        <f t="shared" si="61"/>
        <v/>
      </c>
      <c r="AD273" s="174" t="str">
        <f t="shared" si="61"/>
        <v/>
      </c>
      <c r="AE273" s="174" t="str">
        <f t="shared" si="61"/>
        <v/>
      </c>
      <c r="AF273" s="174" t="str">
        <f t="shared" si="61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62">IF(B241&lt;100,"",B241-1500)</f>
        <v/>
      </c>
      <c r="C274" s="174" t="str">
        <f t="shared" si="62"/>
        <v/>
      </c>
      <c r="D274" s="174" t="str">
        <f t="shared" si="62"/>
        <v/>
      </c>
      <c r="E274" s="174" t="str">
        <f t="shared" si="62"/>
        <v/>
      </c>
      <c r="F274" s="174" t="str">
        <f t="shared" si="62"/>
        <v/>
      </c>
      <c r="G274" s="174" t="str">
        <f t="shared" si="62"/>
        <v/>
      </c>
      <c r="H274" s="174" t="str">
        <f t="shared" si="62"/>
        <v/>
      </c>
      <c r="I274" s="174" t="str">
        <f t="shared" si="62"/>
        <v/>
      </c>
      <c r="J274" s="174" t="str">
        <f t="shared" si="62"/>
        <v/>
      </c>
      <c r="K274" s="174" t="str">
        <f t="shared" si="62"/>
        <v/>
      </c>
      <c r="L274" s="174" t="str">
        <f t="shared" si="62"/>
        <v/>
      </c>
      <c r="M274" s="174" t="str">
        <f t="shared" si="62"/>
        <v/>
      </c>
      <c r="N274" s="174" t="str">
        <f t="shared" si="62"/>
        <v/>
      </c>
      <c r="O274" s="174" t="str">
        <f t="shared" si="62"/>
        <v/>
      </c>
      <c r="P274" s="174" t="str">
        <f t="shared" si="62"/>
        <v/>
      </c>
      <c r="Q274" s="174" t="str">
        <f t="shared" si="62"/>
        <v/>
      </c>
      <c r="R274" s="174" t="str">
        <f t="shared" si="62"/>
        <v/>
      </c>
      <c r="S274" s="174" t="str">
        <f t="shared" si="62"/>
        <v/>
      </c>
      <c r="T274" s="174" t="str">
        <f t="shared" si="62"/>
        <v/>
      </c>
      <c r="U274" s="174" t="str">
        <f t="shared" si="62"/>
        <v/>
      </c>
      <c r="V274" s="174" t="str">
        <f t="shared" si="62"/>
        <v/>
      </c>
      <c r="W274" s="174" t="str">
        <f t="shared" si="62"/>
        <v/>
      </c>
      <c r="X274" s="174" t="str">
        <f t="shared" si="62"/>
        <v/>
      </c>
      <c r="Y274" s="174" t="str">
        <f t="shared" si="62"/>
        <v/>
      </c>
      <c r="Z274" s="174" t="str">
        <f t="shared" si="62"/>
        <v/>
      </c>
      <c r="AA274" s="174" t="str">
        <f t="shared" si="62"/>
        <v/>
      </c>
      <c r="AB274" s="174" t="str">
        <f t="shared" si="62"/>
        <v/>
      </c>
      <c r="AC274" s="174" t="str">
        <f t="shared" si="62"/>
        <v/>
      </c>
      <c r="AD274" s="174" t="str">
        <f t="shared" si="62"/>
        <v/>
      </c>
      <c r="AE274" s="174" t="str">
        <f t="shared" si="62"/>
        <v/>
      </c>
      <c r="AF274" s="174" t="str">
        <f t="shared" si="62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475" priority="60">
      <formula>$AH11=0</formula>
    </cfRule>
  </conditionalFormatting>
  <conditionalFormatting sqref="B8 M8 S8 AB8">
    <cfRule type="expression" dxfId="474" priority="111">
      <formula>AND(C$9&gt;=14/24,C$9&lt;20/24)</formula>
    </cfRule>
    <cfRule type="expression" dxfId="473" priority="112">
      <formula>AND(C$9&gt;=8/24,C$9&lt;14/24)</formula>
    </cfRule>
    <cfRule type="expression" dxfId="472" priority="113">
      <formula>C$9&lt;8/24</formula>
    </cfRule>
  </conditionalFormatting>
  <conditionalFormatting sqref="B54:D54">
    <cfRule type="expression" dxfId="471" priority="34">
      <formula>B$9&gt;=20/24</formula>
    </cfRule>
    <cfRule type="expression" dxfId="470" priority="35">
      <formula>AND(B$9&gt;=14/24,B$9&lt;20/24)</formula>
    </cfRule>
    <cfRule type="expression" dxfId="469" priority="36">
      <formula>AND(B$9&gt;=8/24,B$9&lt;14/24)</formula>
    </cfRule>
    <cfRule type="expression" dxfId="468" priority="37">
      <formula>B$9&lt;8/24</formula>
    </cfRule>
  </conditionalFormatting>
  <conditionalFormatting sqref="B54:D66 E55:E66 F59:L66">
    <cfRule type="expression" dxfId="467" priority="29">
      <formula>B54&gt;$AG54</formula>
    </cfRule>
  </conditionalFormatting>
  <conditionalFormatting sqref="B55:E59 F59:L59">
    <cfRule type="expression" dxfId="466" priority="56">
      <formula>B$9&gt;=20/24</formula>
    </cfRule>
    <cfRule type="expression" dxfId="465" priority="57">
      <formula>AND(B$9&gt;=14/24,B$9&lt;20/24)</formula>
    </cfRule>
    <cfRule type="expression" dxfId="464" priority="58">
      <formula>AND(B$9&gt;=8/24,B$9&lt;14/24)</formula>
    </cfRule>
    <cfRule type="expression" dxfId="463" priority="59">
      <formula>B$9&lt;8/24</formula>
    </cfRule>
  </conditionalFormatting>
  <conditionalFormatting sqref="B60:AF60">
    <cfRule type="expression" dxfId="462" priority="47">
      <formula>B$9&gt;=20/24</formula>
    </cfRule>
    <cfRule type="expression" dxfId="461" priority="48">
      <formula>AND(B$9&gt;=14/24,B$9&lt;20/24)</formula>
    </cfRule>
    <cfRule type="expression" dxfId="460" priority="49">
      <formula>AND(B$9&gt;=8/24,B$9&lt;14/24)</formula>
    </cfRule>
    <cfRule type="expression" dxfId="459" priority="50">
      <formula>B$9&lt;8/24</formula>
    </cfRule>
  </conditionalFormatting>
  <conditionalFormatting sqref="B61:AF66">
    <cfRule type="expression" dxfId="458" priority="30">
      <formula>B$9&gt;=20/24</formula>
    </cfRule>
    <cfRule type="expression" dxfId="457" priority="31">
      <formula>AND(B$9&gt;=14/24,B$9&lt;20/24)</formula>
    </cfRule>
    <cfRule type="expression" dxfId="456" priority="32">
      <formula>AND(B$9&gt;=8/24,B$9&lt;14/24)</formula>
    </cfRule>
    <cfRule type="expression" dxfId="455" priority="33">
      <formula>B$9&lt;8/24</formula>
    </cfRule>
  </conditionalFormatting>
  <conditionalFormatting sqref="B9:AF45">
    <cfRule type="expression" dxfId="454" priority="19">
      <formula>B$9&gt;=20/24</formula>
    </cfRule>
    <cfRule type="expression" dxfId="453" priority="20">
      <formula>AND(B$9&gt;=14/24,B$9&lt;20/24)</formula>
    </cfRule>
    <cfRule type="expression" dxfId="452" priority="21">
      <formula>AND(B$9&gt;=8/24,B$9&lt;14/24)</formula>
    </cfRule>
    <cfRule type="expression" dxfId="451" priority="22">
      <formula>B$9&lt;8/24</formula>
    </cfRule>
  </conditionalFormatting>
  <conditionalFormatting sqref="B11:AF46">
    <cfRule type="expression" dxfId="450" priority="18">
      <formula>B11&gt;$AG11</formula>
    </cfRule>
  </conditionalFormatting>
  <conditionalFormatting sqref="B46:AF46">
    <cfRule type="expression" dxfId="449" priority="14">
      <formula>B$9&gt;=20/24</formula>
    </cfRule>
    <cfRule type="expression" dxfId="448" priority="15">
      <formula>AND(B$9&gt;=14/24,B$9&lt;20/24)</formula>
    </cfRule>
    <cfRule type="expression" dxfId="447" priority="16">
      <formula>AND(B$9&gt;=8/24,B$9&lt;14/24)</formula>
    </cfRule>
    <cfRule type="expression" dxfId="446" priority="17">
      <formula>B$9&lt;8/24</formula>
    </cfRule>
  </conditionalFormatting>
  <conditionalFormatting sqref="B47:AF47">
    <cfRule type="expression" dxfId="445" priority="28">
      <formula>B47&gt;$AG47</formula>
    </cfRule>
  </conditionalFormatting>
  <conditionalFormatting sqref="B47:AF49">
    <cfRule type="expression" dxfId="444" priority="24">
      <formula>B$9&gt;=20/24</formula>
    </cfRule>
    <cfRule type="expression" dxfId="443" priority="25">
      <formula>AND(B$9&gt;=14/24,B$9&lt;20/24)</formula>
    </cfRule>
    <cfRule type="expression" dxfId="442" priority="26">
      <formula>AND(B$9&gt;=8/24,B$9&lt;14/24)</formula>
    </cfRule>
    <cfRule type="expression" dxfId="441" priority="27">
      <formula>B$9&lt;8/24</formula>
    </cfRule>
  </conditionalFormatting>
  <conditionalFormatting sqref="B48:AF53">
    <cfRule type="expression" dxfId="440" priority="23">
      <formula>B48&gt;$AG48</formula>
    </cfRule>
  </conditionalFormatting>
  <conditionalFormatting sqref="B51:AF53">
    <cfRule type="expression" dxfId="439" priority="43">
      <formula>B$9&gt;=20/24</formula>
    </cfRule>
    <cfRule type="expression" dxfId="438" priority="44">
      <formula>AND(B$9&gt;=14/24,B$9&lt;20/24)</formula>
    </cfRule>
    <cfRule type="expression" dxfId="437" priority="45">
      <formula>AND(B$9&gt;=8/24,B$9&lt;14/24)</formula>
    </cfRule>
    <cfRule type="expression" dxfId="436" priority="46">
      <formula>B$9&lt;8/24</formula>
    </cfRule>
  </conditionalFormatting>
  <conditionalFormatting sqref="B69:AF71">
    <cfRule type="expression" dxfId="435" priority="51">
      <formula>B69&gt;$AG69</formula>
    </cfRule>
    <cfRule type="expression" dxfId="434" priority="52">
      <formula>B$9&gt;=20/24</formula>
    </cfRule>
    <cfRule type="expression" dxfId="433" priority="53">
      <formula>AND(B$9&gt;=14/24,B$9&lt;20/24)</formula>
    </cfRule>
    <cfRule type="expression" dxfId="432" priority="54">
      <formula>AND(B$9&gt;=8/24,B$9&lt;14/24)</formula>
    </cfRule>
    <cfRule type="expression" dxfId="431" priority="55">
      <formula>B$9&lt;8/24</formula>
    </cfRule>
  </conditionalFormatting>
  <conditionalFormatting sqref="B73:AF91">
    <cfRule type="expression" dxfId="430" priority="1">
      <formula>B$9&gt;=20/24</formula>
    </cfRule>
    <cfRule type="expression" dxfId="429" priority="2">
      <formula>AND(B$9&gt;=14/24,B$9&lt;20/24)</formula>
    </cfRule>
    <cfRule type="expression" dxfId="428" priority="3">
      <formula>AND(B$9&gt;=8/24,B$9&lt;14/24)</formula>
    </cfRule>
    <cfRule type="expression" dxfId="427" priority="4">
      <formula>B$9&lt;8/24</formula>
    </cfRule>
  </conditionalFormatting>
  <conditionalFormatting sqref="B111:AF120">
    <cfRule type="expression" dxfId="426" priority="10">
      <formula>B$9&gt;=20/24</formula>
    </cfRule>
    <cfRule type="expression" dxfId="425" priority="11">
      <formula>AND(B$9&gt;=14/24,B$9&lt;20/24)</formula>
    </cfRule>
    <cfRule type="expression" dxfId="424" priority="12">
      <formula>AND(B$9&gt;=8/24,B$9&lt;14/24)</formula>
    </cfRule>
    <cfRule type="expression" dxfId="423" priority="13">
      <formula>B$9&lt;8/24</formula>
    </cfRule>
  </conditionalFormatting>
  <conditionalFormatting sqref="B227:AF227 D229:AF230 B229:B235 D231:H231 J231:AF231 D232:AF235 U248:AF248">
    <cfRule type="expression" dxfId="422" priority="104">
      <formula>B$9&gt;=20/24</formula>
    </cfRule>
    <cfRule type="expression" dxfId="421" priority="105">
      <formula>AND(B$9&gt;=14/24,B$9&lt;20/24)</formula>
    </cfRule>
    <cfRule type="expression" dxfId="420" priority="106">
      <formula>AND(B$9&gt;=8/24,B$9&lt;14/24)</formula>
    </cfRule>
    <cfRule type="expression" dxfId="419" priority="107">
      <formula>B$9&lt;8/24</formula>
    </cfRule>
  </conditionalFormatting>
  <conditionalFormatting sqref="B72:AG72 B67:AG68">
    <cfRule type="expression" dxfId="418" priority="38">
      <formula>B67&gt;$AG67</formula>
    </cfRule>
  </conditionalFormatting>
  <conditionalFormatting sqref="B72:AG72 B93:AF109">
    <cfRule type="expression" dxfId="417" priority="39">
      <formula>B$9&gt;=20/24</formula>
    </cfRule>
    <cfRule type="expression" dxfId="416" priority="40">
      <formula>AND(B$9&gt;=14/24,B$9&lt;20/24)</formula>
    </cfRule>
    <cfRule type="expression" dxfId="415" priority="41">
      <formula>AND(B$9&gt;=8/24,B$9&lt;14/24)</formula>
    </cfRule>
    <cfRule type="expression" dxfId="414" priority="42">
      <formula>B$9&lt;8/24</formula>
    </cfRule>
  </conditionalFormatting>
  <conditionalFormatting sqref="M59:M66 F55:M58 N55:AF66">
    <cfRule type="expression" dxfId="413" priority="5">
      <formula>F55&gt;$AG55</formula>
    </cfRule>
  </conditionalFormatting>
  <conditionalFormatting sqref="E54:AG54">
    <cfRule type="expression" dxfId="412" priority="72">
      <formula>E54&gt;$AG54</formula>
    </cfRule>
    <cfRule type="expression" dxfId="411" priority="73">
      <formula>E$9&gt;=20/24</formula>
    </cfRule>
    <cfRule type="expression" dxfId="410" priority="74">
      <formula>AND(E$9&gt;=14/24,E$9&lt;20/24)</formula>
    </cfRule>
    <cfRule type="expression" dxfId="409" priority="75">
      <formula>AND(E$9&gt;=8/24,E$9&lt;14/24)</formula>
    </cfRule>
    <cfRule type="expression" dxfId="408" priority="76">
      <formula>E$9&lt;8/24</formula>
    </cfRule>
  </conditionalFormatting>
  <conditionalFormatting sqref="F55:L57">
    <cfRule type="expression" dxfId="407" priority="85">
      <formula>F$9&gt;=20/24</formula>
    </cfRule>
    <cfRule type="expression" dxfId="406" priority="86">
      <formula>AND(F$9&gt;=14/24,F$9&lt;20/24)</formula>
    </cfRule>
    <cfRule type="expression" dxfId="405" priority="87">
      <formula>AND(F$9&gt;=8/24,F$9&lt;14/24)</formula>
    </cfRule>
    <cfRule type="expression" dxfId="404" priority="88">
      <formula>F$9&lt;8/24</formula>
    </cfRule>
  </conditionalFormatting>
  <conditionalFormatting sqref="M55:AF59">
    <cfRule type="expression" dxfId="403" priority="89">
      <formula>M$9&gt;=20/24</formula>
    </cfRule>
    <cfRule type="expression" dxfId="402" priority="90">
      <formula>AND(M$9&gt;=14/24,M$9&lt;20/24)</formula>
    </cfRule>
    <cfRule type="expression" dxfId="401" priority="91">
      <formula>AND(M$9&gt;=8/24,M$9&lt;14/24)</formula>
    </cfRule>
    <cfRule type="expression" dxfId="400" priority="92">
      <formula>M$9&lt;8/24</formula>
    </cfRule>
  </conditionalFormatting>
  <conditionalFormatting sqref="O3:P3">
    <cfRule type="iconSet" priority="108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99" priority="110">
      <formula>C$9&gt;=20/24</formula>
    </cfRule>
  </conditionalFormatting>
  <conditionalFormatting sqref="S8">
    <cfRule type="expression" dxfId="398" priority="97">
      <formula>U$9&gt;=20/24</formula>
    </cfRule>
    <cfRule type="expression" dxfId="397" priority="98">
      <formula>AND(U$9&gt;=14/24,U$9&lt;20/24)</formula>
    </cfRule>
    <cfRule type="expression" dxfId="396" priority="99">
      <formula>AND(U$9&gt;=8/24,U$9&lt;14/24)</formula>
    </cfRule>
    <cfRule type="expression" dxfId="395" priority="100">
      <formula>U$9&lt;8/24</formula>
    </cfRule>
  </conditionalFormatting>
  <conditionalFormatting sqref="U55:AF60">
    <cfRule type="expression" dxfId="394" priority="6">
      <formula>U$9&gt;=20/24</formula>
    </cfRule>
    <cfRule type="expression" dxfId="393" priority="7">
      <formula>AND(U$9&gt;=14/24,U$9&lt;20/24)</formula>
    </cfRule>
    <cfRule type="expression" dxfId="392" priority="8">
      <formula>AND(U$9&gt;=8/24,U$9&lt;14/24)</formula>
    </cfRule>
    <cfRule type="expression" dxfId="391" priority="9">
      <formula>U$9&lt;8/24</formula>
    </cfRule>
  </conditionalFormatting>
  <conditionalFormatting sqref="T248">
    <cfRule type="expression" dxfId="390" priority="122">
      <formula>AX$9&gt;=20/24</formula>
    </cfRule>
    <cfRule type="expression" dxfId="389" priority="123">
      <formula>AND(AX$9&gt;=14/24,AX$9&lt;20/24)</formula>
    </cfRule>
    <cfRule type="expression" dxfId="388" priority="124">
      <formula>AND(AX$9&gt;=8/24,AX$9&lt;14/24)</formula>
    </cfRule>
    <cfRule type="expression" dxfId="387" priority="125">
      <formula>AX$9&lt;8/24</formula>
    </cfRule>
  </conditionalFormatting>
  <conditionalFormatting sqref="V3 AB3">
    <cfRule type="iconSet" priority="109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86" priority="93">
      <formula>AD$9&gt;=20/24</formula>
    </cfRule>
    <cfRule type="expression" dxfId="385" priority="94">
      <formula>AND(AD$9&gt;=14/24,AD$9&lt;20/24)</formula>
    </cfRule>
    <cfRule type="expression" dxfId="384" priority="95">
      <formula>AND(AD$9&gt;=8/24,AD$9&lt;14/24)</formula>
    </cfRule>
    <cfRule type="expression" dxfId="383" priority="96">
      <formula>AD$9&lt;8/24</formula>
    </cfRule>
  </conditionalFormatting>
  <conditionalFormatting sqref="AG50">
    <cfRule type="expression" dxfId="382" priority="80">
      <formula>AG50&gt;$AG50</formula>
    </cfRule>
  </conditionalFormatting>
  <conditionalFormatting sqref="AG89">
    <cfRule type="expression" dxfId="381" priority="81">
      <formula>AG$9&gt;=20/24</formula>
    </cfRule>
    <cfRule type="expression" dxfId="380" priority="82">
      <formula>AND(AG$9&gt;=14/24,AG$9&lt;20/24)</formula>
    </cfRule>
    <cfRule type="expression" dxfId="379" priority="83">
      <formula>AND(AG$9&gt;=8/24,AG$9&lt;14/24)</formula>
    </cfRule>
    <cfRule type="expression" dxfId="378" priority="84">
      <formula>AG$9&lt;8/24</formula>
    </cfRule>
  </conditionalFormatting>
  <conditionalFormatting sqref="AG248">
    <cfRule type="expression" dxfId="377" priority="114">
      <formula>B$9&gt;=20/24</formula>
    </cfRule>
    <cfRule type="expression" dxfId="376" priority="115">
      <formula>AND(B$9&gt;=14/24,B$9&lt;20/24)</formula>
    </cfRule>
    <cfRule type="expression" dxfId="375" priority="116">
      <formula>AND(B$9&gt;=8/24,B$9&lt;14/24)</formula>
    </cfRule>
    <cfRule type="expression" dxfId="374" priority="117">
      <formula>B$9&lt;8/24</formula>
    </cfRule>
  </conditionalFormatting>
  <conditionalFormatting sqref="AH248:AX248">
    <cfRule type="expression" dxfId="373" priority="118">
      <formula>AG$9&gt;=20/24</formula>
    </cfRule>
    <cfRule type="expression" dxfId="372" priority="119">
      <formula>AND(AG$9&gt;=14/24,AG$9&lt;20/24)</formula>
    </cfRule>
    <cfRule type="expression" dxfId="371" priority="120">
      <formula>AND(AG$9&gt;=8/24,AG$9&lt;14/24)</formula>
    </cfRule>
    <cfRule type="expression" dxfId="370" priority="121">
      <formula>AG$9&lt;8/24</formula>
    </cfRule>
  </conditionalFormatting>
  <conditionalFormatting sqref="AL4:AL6">
    <cfRule type="iconSet" priority="103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3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78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2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77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79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2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1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1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26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69" priority="127">
      <formula>AJ$9&gt;=20/24</formula>
    </cfRule>
    <cfRule type="expression" dxfId="368" priority="128">
      <formula>AND(AJ$9&gt;=14/24,AJ$9&lt;20/24)</formula>
    </cfRule>
    <cfRule type="expression" dxfId="367" priority="129">
      <formula>AND(AJ$9&gt;=8/24,AJ$9&lt;14/24)</formula>
    </cfRule>
    <cfRule type="expression" dxfId="366" priority="130">
      <formula>AJ$9&lt;8/24</formula>
    </cfRule>
  </conditionalFormatting>
  <conditionalFormatting sqref="AL80:AN80 AL86:AN86">
    <cfRule type="expression" dxfId="365" priority="68">
      <formula>AL$9&gt;=20/24</formula>
    </cfRule>
    <cfRule type="expression" dxfId="364" priority="69">
      <formula>AND(AL$9&gt;=14/24,AL$9&lt;20/24)</formula>
    </cfRule>
    <cfRule type="expression" dxfId="363" priority="70">
      <formula>AND(AL$9&gt;=8/24,AL$9&lt;14/24)</formula>
    </cfRule>
    <cfRule type="expression" dxfId="362" priority="71">
      <formula>AL$9&lt;8/24</formula>
    </cfRule>
  </conditionalFormatting>
  <conditionalFormatting sqref="AN81:AN84">
    <cfRule type="expression" dxfId="361" priority="64">
      <formula>AN$9&gt;=20/24</formula>
    </cfRule>
    <cfRule type="expression" dxfId="360" priority="65">
      <formula>AND(AN$9&gt;=14/24,AN$9&lt;20/24)</formula>
    </cfRule>
    <cfRule type="expression" dxfId="359" priority="66">
      <formula>AND(AN$9&gt;=8/24,AN$9&lt;14/24)</formula>
    </cfRule>
    <cfRule type="expression" dxfId="358" priority="67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BEAC2-1A2F-4E43-82BC-10440D5FB957}">
  <sheetPr codeName="Sheet35"/>
  <dimension ref="A1:CJ281"/>
  <sheetViews>
    <sheetView zoomScaleNormal="100" workbookViewId="0">
      <pane xSplit="1" ySplit="10" topLeftCell="B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R79" sqref="R7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2080/05/31</v>
      </c>
      <c r="C4" s="196"/>
      <c r="D4" s="196"/>
      <c r="E4" s="197" t="str">
        <f ca="1">"2080/"&amp;"05/"&amp;INT(MID(CELL("filename",G6),FIND("]",CELL("filename",G6))+1,200))</f>
        <v>2080/05/31</v>
      </c>
      <c r="F4" s="197"/>
      <c r="G4" s="197"/>
      <c r="H4" s="197" t="str">
        <f ca="1">TEXT(E4,"dddd")</f>
        <v>Friday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6.3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2079MW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Load=1947</v>
      </c>
      <c r="B7" s="35">
        <f t="shared" ref="B7:AF7" si="1">B91</f>
        <v>2040.8400000000001</v>
      </c>
      <c r="C7" s="35">
        <f t="shared" si="1"/>
        <v>2040.8400000000001</v>
      </c>
      <c r="D7" s="35">
        <f t="shared" si="1"/>
        <v>2040.8400000000001</v>
      </c>
      <c r="E7" s="35">
        <f t="shared" si="1"/>
        <v>2040.8400000000001</v>
      </c>
      <c r="F7" s="35">
        <f t="shared" si="1"/>
        <v>2040.8400000000001</v>
      </c>
      <c r="G7" s="35">
        <f t="shared" si="1"/>
        <v>2040.8400000000001</v>
      </c>
      <c r="H7" s="35">
        <f t="shared" si="1"/>
        <v>2040.8400000000001</v>
      </c>
      <c r="I7" s="35">
        <f t="shared" si="1"/>
        <v>2014.3400000000001</v>
      </c>
      <c r="J7" s="35">
        <f t="shared" si="1"/>
        <v>2015.64</v>
      </c>
      <c r="K7" s="35">
        <f t="shared" si="1"/>
        <v>2014.3400000000001</v>
      </c>
      <c r="L7" s="35">
        <f t="shared" si="1"/>
        <v>2014.3400000000001</v>
      </c>
      <c r="M7" s="35">
        <f t="shared" si="1"/>
        <v>2053.04</v>
      </c>
      <c r="N7" s="35">
        <f>N91</f>
        <v>2078.7400000000002</v>
      </c>
      <c r="O7" s="35">
        <f t="shared" si="1"/>
        <v>2079.54</v>
      </c>
      <c r="P7" s="35">
        <f t="shared" si="1"/>
        <v>2114.1400000000003</v>
      </c>
      <c r="Q7" s="35">
        <f t="shared" si="1"/>
        <v>2138.0400000000004</v>
      </c>
      <c r="R7" s="35">
        <f t="shared" si="1"/>
        <v>2110.14</v>
      </c>
      <c r="S7" s="35">
        <f t="shared" si="1"/>
        <v>2142.84</v>
      </c>
      <c r="T7" s="35">
        <f t="shared" si="1"/>
        <v>2100.84</v>
      </c>
      <c r="U7" s="35">
        <f t="shared" si="1"/>
        <v>1955.74</v>
      </c>
      <c r="V7" s="35">
        <f t="shared" si="1"/>
        <v>1959.6399999999999</v>
      </c>
      <c r="W7" s="35">
        <f t="shared" si="1"/>
        <v>1947.04</v>
      </c>
      <c r="X7" s="35">
        <f t="shared" si="1"/>
        <v>2007.5400000000002</v>
      </c>
      <c r="Y7" s="35">
        <f t="shared" si="1"/>
        <v>2085.94</v>
      </c>
      <c r="Z7" s="35">
        <f t="shared" si="1"/>
        <v>2120.14</v>
      </c>
      <c r="AA7" s="35">
        <f t="shared" si="1"/>
        <v>2059.3399999999997</v>
      </c>
      <c r="AB7" s="35">
        <f t="shared" si="1"/>
        <v>2078.54</v>
      </c>
      <c r="AC7" s="35">
        <f t="shared" si="1"/>
        <v>2065.0300000000002</v>
      </c>
      <c r="AD7" s="35">
        <f t="shared" si="1"/>
        <v>2039.23</v>
      </c>
      <c r="AE7" s="35">
        <f t="shared" si="1"/>
        <v>2039.23</v>
      </c>
      <c r="AF7" s="35">
        <f t="shared" si="1"/>
        <v>2039.23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10</v>
      </c>
      <c r="W12" s="45">
        <v>10</v>
      </c>
      <c r="X12" s="45">
        <v>10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9</v>
      </c>
      <c r="AE12" s="45">
        <v>9</v>
      </c>
      <c r="AF12" s="45">
        <v>9</v>
      </c>
      <c r="AG12" s="49">
        <v>54</v>
      </c>
      <c r="AH12" s="47">
        <f t="shared" si="2"/>
        <v>13</v>
      </c>
      <c r="AI12" s="48">
        <f t="shared" si="3"/>
        <v>9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54.4</v>
      </c>
      <c r="M13" s="45">
        <v>28.1</v>
      </c>
      <c r="N13" s="45">
        <v>28.1</v>
      </c>
      <c r="O13" s="45">
        <v>28.1</v>
      </c>
      <c r="P13" s="45">
        <v>28.1</v>
      </c>
      <c r="Q13" s="45">
        <v>28.1</v>
      </c>
      <c r="R13" s="45">
        <v>28.9</v>
      </c>
      <c r="S13" s="45">
        <v>28.9</v>
      </c>
      <c r="T13" s="45">
        <v>28.9</v>
      </c>
      <c r="U13" s="45">
        <v>28.9</v>
      </c>
      <c r="V13" s="45">
        <v>28.9</v>
      </c>
      <c r="W13" s="45">
        <v>28.9</v>
      </c>
      <c r="X13" s="45">
        <v>28.9</v>
      </c>
      <c r="Y13" s="45">
        <v>28.9</v>
      </c>
      <c r="Z13" s="45">
        <v>28.9</v>
      </c>
      <c r="AA13" s="45">
        <v>0</v>
      </c>
      <c r="AB13" s="45">
        <v>28.4</v>
      </c>
      <c r="AC13" s="45">
        <v>28.4</v>
      </c>
      <c r="AD13" s="45">
        <v>28.4</v>
      </c>
      <c r="AE13" s="45">
        <v>28.4</v>
      </c>
      <c r="AF13" s="45">
        <v>28.4</v>
      </c>
      <c r="AG13" s="46">
        <v>52.4</v>
      </c>
      <c r="AH13" s="47">
        <f t="shared" si="2"/>
        <v>54.4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50.7</v>
      </c>
      <c r="O14" s="58">
        <v>50.7</v>
      </c>
      <c r="P14" s="58">
        <v>50.7</v>
      </c>
      <c r="Q14" s="58">
        <v>50.7</v>
      </c>
      <c r="R14" s="58">
        <v>50.7</v>
      </c>
      <c r="S14" s="58">
        <v>50.7</v>
      </c>
      <c r="T14" s="58">
        <v>50.7</v>
      </c>
      <c r="U14" s="58">
        <v>50</v>
      </c>
      <c r="V14" s="58">
        <v>50</v>
      </c>
      <c r="W14" s="58">
        <v>50</v>
      </c>
      <c r="X14" s="58">
        <v>50</v>
      </c>
      <c r="Y14" s="58">
        <v>50</v>
      </c>
      <c r="Z14" s="58">
        <v>50</v>
      </c>
      <c r="AA14" s="58">
        <v>50</v>
      </c>
      <c r="AB14" s="58">
        <v>50.8</v>
      </c>
      <c r="AC14" s="58">
        <v>50.8</v>
      </c>
      <c r="AD14" s="58">
        <v>50.8</v>
      </c>
      <c r="AE14" s="58">
        <v>50.8</v>
      </c>
      <c r="AF14" s="58">
        <v>50.8</v>
      </c>
      <c r="AG14" s="49">
        <v>50</v>
      </c>
      <c r="AH14" s="47">
        <f t="shared" si="2"/>
        <v>50.8</v>
      </c>
      <c r="AI14" s="48">
        <f t="shared" si="3"/>
        <v>50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36</v>
      </c>
      <c r="N15" s="45">
        <v>36</v>
      </c>
      <c r="O15" s="45">
        <v>36</v>
      </c>
      <c r="P15" s="45">
        <v>36</v>
      </c>
      <c r="Q15" s="45">
        <v>36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40</v>
      </c>
      <c r="V16" s="45">
        <v>40</v>
      </c>
      <c r="W16" s="45">
        <v>40</v>
      </c>
      <c r="X16" s="45">
        <v>40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29</v>
      </c>
      <c r="U17" s="45">
        <v>28</v>
      </c>
      <c r="V17" s="45">
        <v>28</v>
      </c>
      <c r="W17" s="45">
        <v>28</v>
      </c>
      <c r="X17" s="45">
        <v>28</v>
      </c>
      <c r="Y17" s="45">
        <v>29.5</v>
      </c>
      <c r="Z17" s="45">
        <v>36</v>
      </c>
      <c r="AA17" s="45">
        <v>36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36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30</v>
      </c>
      <c r="D19" s="45">
        <v>30</v>
      </c>
      <c r="E19" s="45">
        <v>30</v>
      </c>
      <c r="F19" s="45">
        <v>30</v>
      </c>
      <c r="G19" s="45">
        <v>30</v>
      </c>
      <c r="H19" s="45">
        <v>30</v>
      </c>
      <c r="I19" s="45">
        <v>30</v>
      </c>
      <c r="J19" s="45">
        <v>30</v>
      </c>
      <c r="K19" s="45">
        <v>30</v>
      </c>
      <c r="L19" s="45">
        <v>30</v>
      </c>
      <c r="M19" s="45">
        <v>30</v>
      </c>
      <c r="N19" s="45">
        <v>30</v>
      </c>
      <c r="O19" s="45">
        <v>30</v>
      </c>
      <c r="P19" s="45">
        <v>30</v>
      </c>
      <c r="Q19" s="45">
        <v>30</v>
      </c>
      <c r="R19" s="45">
        <v>35</v>
      </c>
      <c r="S19" s="45">
        <v>35</v>
      </c>
      <c r="T19" s="45">
        <v>35</v>
      </c>
      <c r="U19" s="45">
        <v>35</v>
      </c>
      <c r="V19" s="45">
        <v>35</v>
      </c>
      <c r="W19" s="45">
        <v>35</v>
      </c>
      <c r="X19" s="45">
        <v>35</v>
      </c>
      <c r="Y19" s="45">
        <v>35</v>
      </c>
      <c r="Z19" s="45">
        <v>35</v>
      </c>
      <c r="AA19" s="45">
        <v>35</v>
      </c>
      <c r="AB19" s="45">
        <v>35</v>
      </c>
      <c r="AC19" s="45">
        <v>35</v>
      </c>
      <c r="AD19" s="45">
        <v>35</v>
      </c>
      <c r="AE19" s="45">
        <v>35</v>
      </c>
      <c r="AF19" s="45">
        <v>35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15</v>
      </c>
      <c r="E20" s="45">
        <v>15</v>
      </c>
      <c r="F20" s="45">
        <v>15</v>
      </c>
      <c r="G20" s="45">
        <v>15</v>
      </c>
      <c r="H20" s="45">
        <v>15</v>
      </c>
      <c r="I20" s="45">
        <v>15</v>
      </c>
      <c r="J20" s="45">
        <v>15</v>
      </c>
      <c r="K20" s="45">
        <v>15</v>
      </c>
      <c r="L20" s="45">
        <v>15</v>
      </c>
      <c r="M20" s="45">
        <v>15</v>
      </c>
      <c r="N20" s="45">
        <v>25.6</v>
      </c>
      <c r="O20" s="45">
        <v>25.6</v>
      </c>
      <c r="P20" s="45">
        <v>25.6</v>
      </c>
      <c r="Q20" s="45">
        <v>30</v>
      </c>
      <c r="R20" s="45">
        <v>25</v>
      </c>
      <c r="S20" s="45">
        <v>25</v>
      </c>
      <c r="T20" s="45">
        <v>25</v>
      </c>
      <c r="U20" s="45">
        <v>10.9</v>
      </c>
      <c r="V20" s="45">
        <v>10.9</v>
      </c>
      <c r="W20" s="45">
        <v>5</v>
      </c>
      <c r="X20" s="45">
        <v>5</v>
      </c>
      <c r="Y20" s="45">
        <v>30</v>
      </c>
      <c r="Z20" s="45">
        <v>30</v>
      </c>
      <c r="AA20" s="45">
        <v>25</v>
      </c>
      <c r="AB20" s="45">
        <v>20.7</v>
      </c>
      <c r="AC20" s="45">
        <v>10</v>
      </c>
      <c r="AD20" s="45">
        <v>5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33</v>
      </c>
      <c r="Q21" s="45">
        <v>33</v>
      </c>
      <c r="R21" s="45">
        <v>26.7</v>
      </c>
      <c r="S21" s="45">
        <v>26.7</v>
      </c>
      <c r="T21" s="45">
        <v>26.7</v>
      </c>
      <c r="U21" s="45">
        <v>20</v>
      </c>
      <c r="V21" s="45">
        <v>20</v>
      </c>
      <c r="W21" s="45">
        <v>21.2</v>
      </c>
      <c r="X21" s="45">
        <v>21.2</v>
      </c>
      <c r="Y21" s="45">
        <v>26.9</v>
      </c>
      <c r="Z21" s="45">
        <v>26.9</v>
      </c>
      <c r="AA21" s="45">
        <v>10</v>
      </c>
      <c r="AB21" s="45">
        <v>25.8</v>
      </c>
      <c r="AC21" s="45">
        <v>25.8</v>
      </c>
      <c r="AD21" s="45">
        <v>25.8</v>
      </c>
      <c r="AE21" s="45">
        <v>25.8</v>
      </c>
      <c r="AF21" s="45">
        <v>25.8</v>
      </c>
      <c r="AG21" s="49">
        <v>24.2</v>
      </c>
      <c r="AH21" s="47">
        <f t="shared" si="2"/>
        <v>33</v>
      </c>
      <c r="AI21" s="48">
        <f t="shared" si="3"/>
        <v>10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>
        <v>5</v>
      </c>
      <c r="G23" s="45">
        <v>5</v>
      </c>
      <c r="H23" s="45">
        <v>5</v>
      </c>
      <c r="I23" s="45">
        <v>5</v>
      </c>
      <c r="J23" s="45">
        <v>5</v>
      </c>
      <c r="K23" s="45">
        <v>5</v>
      </c>
      <c r="L23" s="45">
        <v>13</v>
      </c>
      <c r="M23" s="45">
        <v>13</v>
      </c>
      <c r="N23" s="45">
        <v>22.5</v>
      </c>
      <c r="O23" s="45">
        <v>22.5</v>
      </c>
      <c r="P23" s="45">
        <v>22.5</v>
      </c>
      <c r="Q23" s="45">
        <v>27</v>
      </c>
      <c r="R23" s="45">
        <v>22.5</v>
      </c>
      <c r="S23" s="45">
        <v>22.5</v>
      </c>
      <c r="T23" s="45">
        <v>22.5</v>
      </c>
      <c r="U23" s="45">
        <v>5</v>
      </c>
      <c r="V23" s="45">
        <v>5</v>
      </c>
      <c r="W23" s="45">
        <v>5</v>
      </c>
      <c r="X23" s="45">
        <v>5</v>
      </c>
      <c r="Y23" s="45">
        <v>14</v>
      </c>
      <c r="Z23" s="45">
        <v>27</v>
      </c>
      <c r="AA23" s="45">
        <v>22</v>
      </c>
      <c r="AB23" s="45">
        <v>18</v>
      </c>
      <c r="AC23" s="45">
        <v>9</v>
      </c>
      <c r="AD23" s="45">
        <v>4.5</v>
      </c>
      <c r="AE23" s="45">
        <v>4.5</v>
      </c>
      <c r="AF23" s="45">
        <v>4.5</v>
      </c>
      <c r="AG23" s="51">
        <v>30</v>
      </c>
      <c r="AH23" s="47">
        <f t="shared" si="2"/>
        <v>27</v>
      </c>
      <c r="AI23" s="48">
        <f t="shared" si="3"/>
        <v>4.5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12.4</v>
      </c>
      <c r="V24" s="45">
        <v>16.600000000000001</v>
      </c>
      <c r="W24" s="45">
        <v>16.600000000000001</v>
      </c>
      <c r="X24" s="45">
        <v>25.5</v>
      </c>
      <c r="Y24" s="45">
        <v>25.5</v>
      </c>
      <c r="Z24" s="45">
        <v>25.5</v>
      </c>
      <c r="AA24" s="45">
        <v>25.5</v>
      </c>
      <c r="AB24" s="45">
        <v>26.2</v>
      </c>
      <c r="AC24" s="45">
        <v>26.2</v>
      </c>
      <c r="AD24" s="45">
        <v>26.2</v>
      </c>
      <c r="AE24" s="45">
        <v>26.2</v>
      </c>
      <c r="AF24" s="45">
        <v>26.2</v>
      </c>
      <c r="AG24" s="49">
        <v>25</v>
      </c>
      <c r="AH24" s="47">
        <f t="shared" si="2"/>
        <v>26.2</v>
      </c>
      <c r="AI24" s="48">
        <f t="shared" si="3"/>
        <v>12.4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>
        <v>5</v>
      </c>
      <c r="G27" s="45">
        <v>5</v>
      </c>
      <c r="H27" s="45">
        <v>5</v>
      </c>
      <c r="I27" s="45">
        <v>5</v>
      </c>
      <c r="J27" s="45">
        <v>5</v>
      </c>
      <c r="K27" s="45">
        <v>5</v>
      </c>
      <c r="L27" s="45">
        <v>13</v>
      </c>
      <c r="M27" s="45">
        <v>13</v>
      </c>
      <c r="N27" s="45">
        <v>21</v>
      </c>
      <c r="O27" s="45">
        <v>21</v>
      </c>
      <c r="P27" s="45">
        <v>20</v>
      </c>
      <c r="Q27" s="45">
        <v>20</v>
      </c>
      <c r="R27" s="45">
        <v>21</v>
      </c>
      <c r="S27" s="45">
        <v>21</v>
      </c>
      <c r="T27" s="45">
        <v>21</v>
      </c>
      <c r="U27" s="45">
        <v>5</v>
      </c>
      <c r="V27" s="45">
        <v>5</v>
      </c>
      <c r="W27" s="45">
        <v>5</v>
      </c>
      <c r="X27" s="45">
        <v>5</v>
      </c>
      <c r="Y27" s="45">
        <v>13</v>
      </c>
      <c r="Z27" s="45">
        <v>25</v>
      </c>
      <c r="AA27" s="45">
        <v>20</v>
      </c>
      <c r="AB27" s="45">
        <v>17</v>
      </c>
      <c r="AC27" s="45">
        <v>8.5</v>
      </c>
      <c r="AD27" s="45">
        <v>4.5</v>
      </c>
      <c r="AE27" s="45">
        <v>4.5</v>
      </c>
      <c r="AF27" s="45">
        <v>4.5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17</v>
      </c>
      <c r="Q32" s="45">
        <v>17</v>
      </c>
      <c r="R32" s="45">
        <v>20.3</v>
      </c>
      <c r="S32" s="45">
        <v>20.3</v>
      </c>
      <c r="T32" s="45">
        <v>20.3</v>
      </c>
      <c r="U32" s="45">
        <v>20.3</v>
      </c>
      <c r="V32" s="45">
        <v>20.3</v>
      </c>
      <c r="W32" s="45">
        <v>20.3</v>
      </c>
      <c r="X32" s="45">
        <v>20.3</v>
      </c>
      <c r="Y32" s="45">
        <v>20.3</v>
      </c>
      <c r="Z32" s="45">
        <v>20.3</v>
      </c>
      <c r="AA32" s="45">
        <v>20.3</v>
      </c>
      <c r="AB32" s="45">
        <v>20.3</v>
      </c>
      <c r="AC32" s="45">
        <v>20.3</v>
      </c>
      <c r="AD32" s="45">
        <v>20.3</v>
      </c>
      <c r="AE32" s="45">
        <v>20.3</v>
      </c>
      <c r="AF32" s="45">
        <v>20.3</v>
      </c>
      <c r="AG32" s="49">
        <v>22</v>
      </c>
      <c r="AH32" s="47">
        <f t="shared" si="2"/>
        <v>22</v>
      </c>
      <c r="AI32" s="48">
        <f t="shared" si="3"/>
        <v>17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6</v>
      </c>
      <c r="Q33" s="45">
        <v>6</v>
      </c>
      <c r="R33" s="45">
        <v>6</v>
      </c>
      <c r="S33" s="45">
        <v>6</v>
      </c>
      <c r="T33" s="45">
        <v>6</v>
      </c>
      <c r="U33" s="45">
        <v>8</v>
      </c>
      <c r="V33" s="45">
        <v>8</v>
      </c>
      <c r="W33" s="45">
        <v>8</v>
      </c>
      <c r="X33" s="45">
        <v>8</v>
      </c>
      <c r="Y33" s="45">
        <v>8</v>
      </c>
      <c r="Z33" s="45">
        <v>10</v>
      </c>
      <c r="AA33" s="45">
        <v>10</v>
      </c>
      <c r="AB33" s="45">
        <v>5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5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5</v>
      </c>
      <c r="R34" s="45">
        <v>5</v>
      </c>
      <c r="S34" s="45">
        <v>5</v>
      </c>
      <c r="T34" s="45">
        <v>5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7</v>
      </c>
      <c r="AA34" s="45">
        <v>7</v>
      </c>
      <c r="AB34" s="45">
        <v>4</v>
      </c>
      <c r="AC34" s="45">
        <v>4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7</v>
      </c>
      <c r="AI34" s="48">
        <f t="shared" si="3"/>
        <v>4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7.5</v>
      </c>
      <c r="AC35" s="45">
        <v>15.89</v>
      </c>
      <c r="AD35" s="45">
        <v>15.89</v>
      </c>
      <c r="AE35" s="45">
        <v>15.89</v>
      </c>
      <c r="AF35" s="45">
        <v>15.89</v>
      </c>
      <c r="AG35" s="49">
        <v>14.9</v>
      </c>
      <c r="AH35" s="47">
        <f t="shared" si="2"/>
        <v>15.89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7</v>
      </c>
      <c r="V38" s="45">
        <v>7</v>
      </c>
      <c r="W38" s="45">
        <v>7</v>
      </c>
      <c r="X38" s="45">
        <v>7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7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6</v>
      </c>
      <c r="M39" s="45">
        <v>6</v>
      </c>
      <c r="N39" s="45">
        <v>10</v>
      </c>
      <c r="O39" s="45">
        <v>10</v>
      </c>
      <c r="P39" s="45">
        <v>10</v>
      </c>
      <c r="Q39" s="45">
        <v>10</v>
      </c>
      <c r="R39" s="45">
        <v>10</v>
      </c>
      <c r="S39" s="45">
        <v>10</v>
      </c>
      <c r="T39" s="45">
        <v>10</v>
      </c>
      <c r="U39" s="45">
        <v>3</v>
      </c>
      <c r="V39" s="45">
        <v>3</v>
      </c>
      <c r="W39" s="45">
        <v>3</v>
      </c>
      <c r="X39" s="45">
        <v>3</v>
      </c>
      <c r="Y39" s="45">
        <v>12</v>
      </c>
      <c r="Z39" s="45">
        <v>12</v>
      </c>
      <c r="AA39" s="45">
        <v>12</v>
      </c>
      <c r="AB39" s="45">
        <v>4</v>
      </c>
      <c r="AC39" s="45">
        <v>4</v>
      </c>
      <c r="AD39" s="45">
        <v>2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4</v>
      </c>
      <c r="W40" s="45">
        <v>4</v>
      </c>
      <c r="X40" s="45">
        <v>4</v>
      </c>
      <c r="Y40" s="45">
        <v>4</v>
      </c>
      <c r="Z40" s="45">
        <v>4</v>
      </c>
      <c r="AA40" s="45">
        <v>4</v>
      </c>
      <c r="AB40" s="45">
        <v>4</v>
      </c>
      <c r="AC40" s="45">
        <v>4</v>
      </c>
      <c r="AD40" s="45">
        <v>4</v>
      </c>
      <c r="AE40" s="45">
        <v>4</v>
      </c>
      <c r="AF40" s="45">
        <v>4</v>
      </c>
      <c r="AG40" s="49">
        <v>12</v>
      </c>
      <c r="AH40" s="47">
        <f t="shared" si="2"/>
        <v>4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6</v>
      </c>
      <c r="V43" s="45">
        <v>6</v>
      </c>
      <c r="W43" s="45">
        <v>6</v>
      </c>
      <c r="X43" s="45">
        <v>6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6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5</v>
      </c>
      <c r="C45" s="45">
        <v>5</v>
      </c>
      <c r="D45" s="45">
        <v>5</v>
      </c>
      <c r="E45" s="45">
        <v>5</v>
      </c>
      <c r="F45" s="45">
        <v>5</v>
      </c>
      <c r="G45" s="45">
        <v>5</v>
      </c>
      <c r="H45" s="45">
        <v>5</v>
      </c>
      <c r="I45" s="45">
        <v>5</v>
      </c>
      <c r="J45" s="45">
        <v>5</v>
      </c>
      <c r="K45" s="45">
        <v>5</v>
      </c>
      <c r="L45" s="45">
        <v>5</v>
      </c>
      <c r="M45" s="45">
        <v>5</v>
      </c>
      <c r="N45" s="45">
        <v>5</v>
      </c>
      <c r="O45" s="45">
        <v>5</v>
      </c>
      <c r="P45" s="45">
        <v>5</v>
      </c>
      <c r="Q45" s="45">
        <v>5</v>
      </c>
      <c r="R45" s="45">
        <v>5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380</v>
      </c>
      <c r="N48" s="56">
        <v>380</v>
      </c>
      <c r="O48" s="56">
        <v>380</v>
      </c>
      <c r="P48" s="56">
        <v>380</v>
      </c>
      <c r="Q48" s="56">
        <v>380</v>
      </c>
      <c r="R48" s="56">
        <v>380</v>
      </c>
      <c r="S48" s="56">
        <v>380</v>
      </c>
      <c r="T48" s="56">
        <v>380</v>
      </c>
      <c r="U48" s="56">
        <v>380</v>
      </c>
      <c r="V48" s="56">
        <v>380</v>
      </c>
      <c r="W48" s="56">
        <v>380</v>
      </c>
      <c r="X48" s="56">
        <v>380</v>
      </c>
      <c r="Y48" s="56">
        <v>380</v>
      </c>
      <c r="Z48" s="56">
        <v>380</v>
      </c>
      <c r="AA48" s="56">
        <v>380</v>
      </c>
      <c r="AB48" s="56">
        <v>380</v>
      </c>
      <c r="AC48" s="56">
        <v>380</v>
      </c>
      <c r="AD48" s="56">
        <v>380</v>
      </c>
      <c r="AE48" s="56">
        <v>380</v>
      </c>
      <c r="AF48" s="56">
        <v>380</v>
      </c>
      <c r="AG48" s="54">
        <v>85</v>
      </c>
      <c r="AH48" s="47">
        <f t="shared" si="2"/>
        <v>380</v>
      </c>
      <c r="AI48" s="48">
        <f t="shared" si="3"/>
        <v>380</v>
      </c>
      <c r="AK48" s="50"/>
    </row>
    <row r="49" spans="1:41" ht="15.75" thickBot="1" x14ac:dyDescent="0.3">
      <c r="A49" s="57" t="s">
        <v>57</v>
      </c>
      <c r="B49" s="56">
        <v>111.7</v>
      </c>
      <c r="C49" s="56">
        <v>111.7</v>
      </c>
      <c r="D49" s="56">
        <v>111.7</v>
      </c>
      <c r="E49" s="56">
        <v>111.7</v>
      </c>
      <c r="F49" s="56">
        <v>111.7</v>
      </c>
      <c r="G49" s="56">
        <v>111.7</v>
      </c>
      <c r="H49" s="56">
        <v>111.7</v>
      </c>
      <c r="I49" s="56">
        <v>111.7</v>
      </c>
      <c r="J49" s="56">
        <v>111.7</v>
      </c>
      <c r="K49" s="56">
        <v>111.7</v>
      </c>
      <c r="L49" s="56">
        <v>111.7</v>
      </c>
      <c r="M49" s="58">
        <v>122</v>
      </c>
      <c r="N49" s="58">
        <v>87</v>
      </c>
      <c r="O49" s="58">
        <v>86.4</v>
      </c>
      <c r="P49" s="58">
        <v>64</v>
      </c>
      <c r="Q49" s="58">
        <v>85</v>
      </c>
      <c r="R49" s="58">
        <v>85</v>
      </c>
      <c r="S49" s="58">
        <f>82.6+33.3</f>
        <v>115.89999999999999</v>
      </c>
      <c r="T49" s="58">
        <f>82.6+33.3</f>
        <v>115.89999999999999</v>
      </c>
      <c r="U49" s="58">
        <f>31.7+78.8</f>
        <v>110.5</v>
      </c>
      <c r="V49" s="58">
        <f>31.7+78.8</f>
        <v>110.5</v>
      </c>
      <c r="W49" s="58">
        <f>31.7+78.8</f>
        <v>110.5</v>
      </c>
      <c r="X49" s="58">
        <f>31.7+78.8</f>
        <v>110.5</v>
      </c>
      <c r="Y49" s="58">
        <f>69.3+29.5</f>
        <v>98.8</v>
      </c>
      <c r="Z49" s="58">
        <f>69.3+29.5</f>
        <v>98.8</v>
      </c>
      <c r="AA49" s="58">
        <f>31.2+75</f>
        <v>106.2</v>
      </c>
      <c r="AB49" s="58">
        <f>30.1+76.7</f>
        <v>106.80000000000001</v>
      </c>
      <c r="AC49" s="56">
        <v>112</v>
      </c>
      <c r="AD49" s="56">
        <v>112</v>
      </c>
      <c r="AE49" s="56">
        <v>122</v>
      </c>
      <c r="AF49" s="56">
        <v>123</v>
      </c>
      <c r="AG49" s="54">
        <v>240</v>
      </c>
      <c r="AH49" s="47">
        <f t="shared" si="2"/>
        <v>123</v>
      </c>
      <c r="AI49" s="48">
        <f t="shared" si="3"/>
        <v>64</v>
      </c>
      <c r="AK49" s="50"/>
    </row>
    <row r="50" spans="1:41" ht="15.75" thickBot="1" x14ac:dyDescent="0.3">
      <c r="A50" s="59" t="s">
        <v>58</v>
      </c>
      <c r="B50" s="60">
        <v>1092.5</v>
      </c>
      <c r="C50" s="60">
        <v>1092.5</v>
      </c>
      <c r="D50" s="60">
        <v>1092.5</v>
      </c>
      <c r="E50" s="60">
        <v>1092.5</v>
      </c>
      <c r="F50" s="60">
        <v>1092.5</v>
      </c>
      <c r="G50" s="60">
        <v>1092.5</v>
      </c>
      <c r="H50" s="60">
        <v>1092.5</v>
      </c>
      <c r="I50" s="60">
        <v>1092.5</v>
      </c>
      <c r="J50" s="60">
        <v>1092.5</v>
      </c>
      <c r="K50" s="60">
        <v>1092.5</v>
      </c>
      <c r="L50" s="60">
        <v>1092.5</v>
      </c>
      <c r="M50" s="60">
        <f t="shared" ref="M50:AF50" si="4">SUM(M11:M48)</f>
        <v>1079.2</v>
      </c>
      <c r="N50" s="60">
        <f t="shared" si="4"/>
        <v>1119.9000000000001</v>
      </c>
      <c r="O50" s="60">
        <f t="shared" si="4"/>
        <v>1119.9000000000001</v>
      </c>
      <c r="P50" s="60">
        <f t="shared" si="4"/>
        <v>1127.9000000000001</v>
      </c>
      <c r="Q50" s="60">
        <f t="shared" si="4"/>
        <v>1136.8000000000002</v>
      </c>
      <c r="R50" s="60">
        <f t="shared" si="4"/>
        <v>1126.4000000000001</v>
      </c>
      <c r="S50" s="60">
        <f t="shared" si="4"/>
        <v>1130.4000000000001</v>
      </c>
      <c r="T50" s="60">
        <f t="shared" si="4"/>
        <v>1130.4000000000001</v>
      </c>
      <c r="U50" s="60">
        <f t="shared" si="4"/>
        <v>1043.3</v>
      </c>
      <c r="V50" s="60">
        <f t="shared" si="4"/>
        <v>1044.5</v>
      </c>
      <c r="W50" s="60">
        <f t="shared" si="4"/>
        <v>1039.8000000000002</v>
      </c>
      <c r="X50" s="60">
        <f t="shared" si="4"/>
        <v>1048.7</v>
      </c>
      <c r="Y50" s="60">
        <f t="shared" si="4"/>
        <v>1123.9000000000001</v>
      </c>
      <c r="Z50" s="60">
        <f t="shared" si="4"/>
        <v>1160.4000000000001</v>
      </c>
      <c r="AA50" s="60">
        <f t="shared" si="4"/>
        <v>1099.5999999999999</v>
      </c>
      <c r="AB50" s="60">
        <f t="shared" si="4"/>
        <v>1118.3999999999999</v>
      </c>
      <c r="AC50" s="60">
        <f t="shared" si="4"/>
        <v>1098.5899999999999</v>
      </c>
      <c r="AD50" s="60">
        <f t="shared" si="4"/>
        <v>1079.0899999999999</v>
      </c>
      <c r="AE50" s="60">
        <f t="shared" si="4"/>
        <v>1079.0899999999999</v>
      </c>
      <c r="AF50" s="60">
        <f t="shared" si="4"/>
        <v>1079.0899999999999</v>
      </c>
      <c r="AG50" s="61">
        <f>SUM(AG13:AG48)</f>
        <v>922.14</v>
      </c>
      <c r="AH50" s="47">
        <f t="shared" si="2"/>
        <v>1160.4000000000001</v>
      </c>
      <c r="AI50" s="48">
        <f t="shared" si="3"/>
        <v>1039.8000000000002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8.3000000000000007</v>
      </c>
      <c r="S53" s="66">
        <v>22.1</v>
      </c>
      <c r="T53" s="66">
        <v>22.1</v>
      </c>
      <c r="U53" s="66">
        <v>22.1</v>
      </c>
      <c r="V53" s="66">
        <v>22.1</v>
      </c>
      <c r="W53" s="66">
        <v>22.1</v>
      </c>
      <c r="X53" s="66">
        <v>22.1</v>
      </c>
      <c r="Y53" s="66">
        <v>22.1</v>
      </c>
      <c r="Z53" s="66">
        <v>22.1</v>
      </c>
      <c r="AA53" s="66">
        <v>22.1</v>
      </c>
      <c r="AB53" s="66">
        <v>22.1</v>
      </c>
      <c r="AC53" s="66">
        <v>22.1</v>
      </c>
      <c r="AD53" s="66">
        <v>22.1</v>
      </c>
      <c r="AE53" s="66">
        <v>22.1</v>
      </c>
      <c r="AF53" s="66">
        <v>22.1</v>
      </c>
      <c r="AG53" s="67">
        <v>22.1</v>
      </c>
      <c r="AH53" s="47">
        <f t="shared" si="2"/>
        <v>22.1</v>
      </c>
      <c r="AI53" s="48">
        <f t="shared" si="3"/>
        <v>8.3000000000000007</v>
      </c>
      <c r="AK53" s="50"/>
    </row>
    <row r="54" spans="1:41" ht="15.75" thickBot="1" x14ac:dyDescent="0.3">
      <c r="A54" s="68" t="s">
        <v>62</v>
      </c>
      <c r="B54" s="60">
        <v>528</v>
      </c>
      <c r="C54" s="60">
        <v>528</v>
      </c>
      <c r="D54" s="60">
        <v>528</v>
      </c>
      <c r="E54" s="60">
        <v>528</v>
      </c>
      <c r="F54" s="60">
        <v>528</v>
      </c>
      <c r="G54" s="60">
        <v>528</v>
      </c>
      <c r="H54" s="60">
        <v>528</v>
      </c>
      <c r="I54" s="60">
        <v>528</v>
      </c>
      <c r="J54" s="60">
        <v>528</v>
      </c>
      <c r="K54" s="60">
        <v>528</v>
      </c>
      <c r="L54" s="60">
        <v>528</v>
      </c>
      <c r="M54" s="60">
        <f t="shared" ref="M54:AG54" si="5">SUM(M51:M53)</f>
        <v>538</v>
      </c>
      <c r="N54" s="60">
        <f t="shared" si="5"/>
        <v>538</v>
      </c>
      <c r="O54" s="60">
        <f t="shared" si="5"/>
        <v>538</v>
      </c>
      <c r="P54" s="60">
        <f t="shared" si="5"/>
        <v>538</v>
      </c>
      <c r="Q54" s="60">
        <f t="shared" si="5"/>
        <v>538</v>
      </c>
      <c r="R54" s="60">
        <f t="shared" si="5"/>
        <v>524.29999999999995</v>
      </c>
      <c r="S54" s="60">
        <f t="shared" si="5"/>
        <v>538.1</v>
      </c>
      <c r="T54" s="60">
        <f t="shared" si="5"/>
        <v>538.1</v>
      </c>
      <c r="U54" s="60">
        <f t="shared" si="5"/>
        <v>538.1</v>
      </c>
      <c r="V54" s="60">
        <f t="shared" si="5"/>
        <v>538.1</v>
      </c>
      <c r="W54" s="60">
        <f t="shared" si="5"/>
        <v>538.1</v>
      </c>
      <c r="X54" s="60">
        <f t="shared" si="5"/>
        <v>538.1</v>
      </c>
      <c r="Y54" s="60">
        <f t="shared" si="5"/>
        <v>538.1</v>
      </c>
      <c r="Z54" s="60">
        <f t="shared" si="5"/>
        <v>538.1</v>
      </c>
      <c r="AA54" s="60">
        <f t="shared" si="5"/>
        <v>538.1</v>
      </c>
      <c r="AB54" s="60">
        <f t="shared" si="5"/>
        <v>538.1</v>
      </c>
      <c r="AC54" s="60">
        <f t="shared" si="5"/>
        <v>538.1</v>
      </c>
      <c r="AD54" s="60">
        <f t="shared" si="5"/>
        <v>538.1</v>
      </c>
      <c r="AE54" s="60">
        <f t="shared" si="5"/>
        <v>538.1</v>
      </c>
      <c r="AF54" s="60">
        <f t="shared" si="5"/>
        <v>538.1</v>
      </c>
      <c r="AG54" s="61">
        <f t="shared" si="5"/>
        <v>538.1</v>
      </c>
      <c r="AH54" s="47">
        <f t="shared" si="2"/>
        <v>538.1</v>
      </c>
      <c r="AI54" s="48">
        <f t="shared" si="3"/>
        <v>524.29999999999995</v>
      </c>
      <c r="AK54" s="50"/>
    </row>
    <row r="55" spans="1:41" x14ac:dyDescent="0.25">
      <c r="A55" s="44" t="s">
        <v>63</v>
      </c>
      <c r="B55" s="45">
        <v>145.5</v>
      </c>
      <c r="C55" s="45">
        <v>145.5</v>
      </c>
      <c r="D55" s="45">
        <v>145.5</v>
      </c>
      <c r="E55" s="45">
        <v>145.5</v>
      </c>
      <c r="F55" s="45">
        <v>145.5</v>
      </c>
      <c r="G55" s="45">
        <v>145.5</v>
      </c>
      <c r="H55" s="45">
        <v>145.5</v>
      </c>
      <c r="I55" s="45">
        <v>145.5</v>
      </c>
      <c r="J55" s="45">
        <v>145.5</v>
      </c>
      <c r="K55" s="45">
        <v>145.5</v>
      </c>
      <c r="L55" s="45">
        <v>145.5</v>
      </c>
      <c r="M55" s="45">
        <v>145.5</v>
      </c>
      <c r="N55" s="45">
        <v>145.5</v>
      </c>
      <c r="O55" s="45">
        <v>145.5</v>
      </c>
      <c r="P55" s="45">
        <v>145.5</v>
      </c>
      <c r="Q55" s="45">
        <v>145.5</v>
      </c>
      <c r="R55" s="45">
        <v>146.9</v>
      </c>
      <c r="S55" s="45">
        <v>146.9</v>
      </c>
      <c r="T55" s="45">
        <v>146.9</v>
      </c>
      <c r="U55" s="45">
        <v>111</v>
      </c>
      <c r="V55" s="45">
        <v>112</v>
      </c>
      <c r="W55" s="45">
        <v>112</v>
      </c>
      <c r="X55" s="45">
        <v>143.9</v>
      </c>
      <c r="Y55" s="45">
        <v>145.9</v>
      </c>
      <c r="Z55" s="45">
        <v>145.9</v>
      </c>
      <c r="AA55" s="45">
        <v>145.9</v>
      </c>
      <c r="AB55" s="45">
        <v>146.9</v>
      </c>
      <c r="AC55" s="45">
        <v>146.9</v>
      </c>
      <c r="AD55" s="45">
        <v>146.9</v>
      </c>
      <c r="AE55" s="45">
        <v>146.9</v>
      </c>
      <c r="AF55" s="45">
        <v>146.9</v>
      </c>
      <c r="AG55" s="51">
        <v>144</v>
      </c>
      <c r="AH55" s="47">
        <f t="shared" si="2"/>
        <v>146.9</v>
      </c>
      <c r="AI55" s="48">
        <f t="shared" si="3"/>
        <v>111</v>
      </c>
      <c r="AK55" s="50"/>
    </row>
    <row r="56" spans="1:41" x14ac:dyDescent="0.25">
      <c r="A56" s="53" t="s">
        <v>64</v>
      </c>
      <c r="B56" s="64">
        <v>68</v>
      </c>
      <c r="C56" s="64">
        <v>68</v>
      </c>
      <c r="D56" s="64">
        <v>68</v>
      </c>
      <c r="E56" s="64">
        <v>68</v>
      </c>
      <c r="F56" s="64">
        <v>68</v>
      </c>
      <c r="G56" s="64">
        <v>68</v>
      </c>
      <c r="H56" s="64">
        <v>68</v>
      </c>
      <c r="I56" s="64">
        <v>68</v>
      </c>
      <c r="J56" s="64">
        <v>68</v>
      </c>
      <c r="K56" s="64">
        <v>68</v>
      </c>
      <c r="L56" s="64">
        <v>68</v>
      </c>
      <c r="M56" s="64">
        <v>68</v>
      </c>
      <c r="N56" s="64">
        <v>68</v>
      </c>
      <c r="O56" s="64">
        <v>68</v>
      </c>
      <c r="P56" s="64">
        <v>70</v>
      </c>
      <c r="Q56" s="64">
        <v>70</v>
      </c>
      <c r="R56" s="64">
        <v>70.900000000000006</v>
      </c>
      <c r="S56" s="64">
        <v>70.900000000000006</v>
      </c>
      <c r="T56" s="64">
        <v>70.900000000000006</v>
      </c>
      <c r="U56" s="64">
        <v>60</v>
      </c>
      <c r="V56" s="64">
        <v>69.8</v>
      </c>
      <c r="W56" s="45">
        <v>60</v>
      </c>
      <c r="X56" s="45">
        <v>69</v>
      </c>
      <c r="Y56" s="45">
        <v>70.2</v>
      </c>
      <c r="Z56" s="45">
        <v>68.2</v>
      </c>
      <c r="AA56" s="45">
        <v>68.2</v>
      </c>
      <c r="AB56" s="45">
        <v>70.400000000000006</v>
      </c>
      <c r="AC56" s="45">
        <v>70.400000000000006</v>
      </c>
      <c r="AD56" s="45">
        <v>70.400000000000006</v>
      </c>
      <c r="AE56" s="45">
        <v>70.400000000000006</v>
      </c>
      <c r="AF56" s="45">
        <v>70.400000000000006</v>
      </c>
      <c r="AG56" s="54">
        <v>70</v>
      </c>
      <c r="AH56" s="47">
        <f t="shared" si="2"/>
        <v>70.900000000000006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65.099999999999994</v>
      </c>
      <c r="C57" s="64">
        <v>65.099999999999994</v>
      </c>
      <c r="D57" s="64">
        <v>65.099999999999994</v>
      </c>
      <c r="E57" s="64">
        <v>65.099999999999994</v>
      </c>
      <c r="F57" s="64">
        <v>65.099999999999994</v>
      </c>
      <c r="G57" s="64">
        <v>65.099999999999994</v>
      </c>
      <c r="H57" s="64">
        <v>65.099999999999994</v>
      </c>
      <c r="I57" s="64">
        <v>65.099999999999994</v>
      </c>
      <c r="J57" s="64">
        <v>65.099999999999994</v>
      </c>
      <c r="K57" s="64">
        <v>65.099999999999994</v>
      </c>
      <c r="L57" s="64">
        <v>65.099999999999994</v>
      </c>
      <c r="M57" s="64">
        <v>65.099999999999994</v>
      </c>
      <c r="N57" s="64">
        <v>65.099999999999994</v>
      </c>
      <c r="O57" s="64">
        <v>65.099999999999994</v>
      </c>
      <c r="P57" s="64">
        <v>65.099999999999994</v>
      </c>
      <c r="Q57" s="64">
        <v>65.099999999999994</v>
      </c>
      <c r="R57" s="64">
        <v>65.8</v>
      </c>
      <c r="S57" s="64">
        <v>65.8</v>
      </c>
      <c r="T57" s="64">
        <v>65.8</v>
      </c>
      <c r="U57" s="64">
        <v>64.400000000000006</v>
      </c>
      <c r="V57" s="64">
        <v>60</v>
      </c>
      <c r="W57" s="45">
        <v>61.7</v>
      </c>
      <c r="X57" s="45">
        <v>66.400000000000006</v>
      </c>
      <c r="Y57" s="45">
        <v>66.7</v>
      </c>
      <c r="Z57" s="45">
        <v>66.7</v>
      </c>
      <c r="AA57" s="45">
        <v>66.7</v>
      </c>
      <c r="AB57" s="45">
        <v>64.3</v>
      </c>
      <c r="AC57" s="45">
        <v>64.3</v>
      </c>
      <c r="AD57" s="45">
        <v>64.3</v>
      </c>
      <c r="AE57" s="45">
        <v>64.3</v>
      </c>
      <c r="AF57" s="45">
        <v>64.3</v>
      </c>
      <c r="AG57" s="54">
        <v>69</v>
      </c>
      <c r="AH57" s="47">
        <f t="shared" si="2"/>
        <v>66.7</v>
      </c>
      <c r="AI57" s="48">
        <f t="shared" si="3"/>
        <v>60</v>
      </c>
      <c r="AK57" s="50"/>
    </row>
    <row r="58" spans="1:41" x14ac:dyDescent="0.25">
      <c r="A58" s="53" t="s">
        <v>66</v>
      </c>
      <c r="B58" s="64">
        <v>61.4</v>
      </c>
      <c r="C58" s="64">
        <v>61.4</v>
      </c>
      <c r="D58" s="64">
        <v>61.4</v>
      </c>
      <c r="E58" s="64">
        <v>42</v>
      </c>
      <c r="F58" s="64">
        <v>42</v>
      </c>
      <c r="G58" s="64">
        <v>42</v>
      </c>
      <c r="H58" s="64">
        <v>42</v>
      </c>
      <c r="I58" s="64">
        <v>42</v>
      </c>
      <c r="J58" s="64">
        <v>42</v>
      </c>
      <c r="K58" s="64">
        <v>42</v>
      </c>
      <c r="L58" s="64">
        <v>42</v>
      </c>
      <c r="M58" s="64">
        <v>45.6</v>
      </c>
      <c r="N58" s="64">
        <v>45.6</v>
      </c>
      <c r="O58" s="64">
        <v>45.6</v>
      </c>
      <c r="P58" s="64">
        <v>60</v>
      </c>
      <c r="Q58" s="64">
        <v>60</v>
      </c>
      <c r="R58" s="64">
        <v>59.5</v>
      </c>
      <c r="S58" s="64">
        <v>59.5</v>
      </c>
      <c r="T58" s="64">
        <v>59.5</v>
      </c>
      <c r="U58" s="64">
        <v>60</v>
      </c>
      <c r="V58" s="64">
        <v>55.7</v>
      </c>
      <c r="W58" s="45">
        <v>55.9</v>
      </c>
      <c r="X58" s="45">
        <v>60.4</v>
      </c>
      <c r="Y58" s="45">
        <v>60.7</v>
      </c>
      <c r="Z58" s="45">
        <v>60.4</v>
      </c>
      <c r="AA58" s="45">
        <v>60.4</v>
      </c>
      <c r="AB58" s="45">
        <v>60</v>
      </c>
      <c r="AC58" s="45">
        <v>60</v>
      </c>
      <c r="AD58" s="45">
        <v>60</v>
      </c>
      <c r="AE58" s="45">
        <v>60</v>
      </c>
      <c r="AF58" s="45">
        <v>60</v>
      </c>
      <c r="AG58" s="54">
        <v>60</v>
      </c>
      <c r="AH58" s="47">
        <f t="shared" si="2"/>
        <v>61.4</v>
      </c>
      <c r="AI58" s="48">
        <f t="shared" si="3"/>
        <v>42</v>
      </c>
      <c r="AK58" s="50"/>
    </row>
    <row r="59" spans="1:41" x14ac:dyDescent="0.25">
      <c r="A59" s="53" t="s">
        <v>67</v>
      </c>
      <c r="B59" s="64">
        <v>25</v>
      </c>
      <c r="C59" s="64">
        <v>15</v>
      </c>
      <c r="D59" s="64">
        <v>15</v>
      </c>
      <c r="E59" s="64">
        <v>15</v>
      </c>
      <c r="F59" s="64">
        <v>15</v>
      </c>
      <c r="G59" s="64">
        <v>15</v>
      </c>
      <c r="H59" s="64">
        <v>15</v>
      </c>
      <c r="I59" s="64">
        <v>15</v>
      </c>
      <c r="J59" s="64">
        <v>15</v>
      </c>
      <c r="K59" s="64">
        <v>15</v>
      </c>
      <c r="L59" s="64">
        <v>15</v>
      </c>
      <c r="M59" s="64">
        <v>15</v>
      </c>
      <c r="N59" s="64">
        <v>0</v>
      </c>
      <c r="O59" s="64">
        <v>0</v>
      </c>
      <c r="P59" s="64">
        <v>0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64">
        <v>15</v>
      </c>
      <c r="Z59" s="64">
        <v>15</v>
      </c>
      <c r="AA59" s="64">
        <v>15</v>
      </c>
      <c r="AB59" s="45">
        <v>15</v>
      </c>
      <c r="AC59" s="45">
        <v>15</v>
      </c>
      <c r="AD59" s="45">
        <v>15</v>
      </c>
      <c r="AE59" s="45">
        <v>15</v>
      </c>
      <c r="AF59" s="45">
        <v>15</v>
      </c>
      <c r="AG59" s="54">
        <v>30</v>
      </c>
      <c r="AH59" s="47">
        <f t="shared" si="2"/>
        <v>25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1.3</v>
      </c>
      <c r="K60" s="64">
        <v>0</v>
      </c>
      <c r="L60" s="64">
        <v>0</v>
      </c>
      <c r="M60" s="64">
        <v>12.7</v>
      </c>
      <c r="N60" s="64">
        <v>12.7</v>
      </c>
      <c r="O60" s="64">
        <v>12.7</v>
      </c>
      <c r="P60" s="64">
        <v>12.7</v>
      </c>
      <c r="Q60" s="64">
        <v>12.7</v>
      </c>
      <c r="R60" s="64">
        <v>18.3</v>
      </c>
      <c r="S60" s="64">
        <v>11</v>
      </c>
      <c r="T60" s="64">
        <v>8</v>
      </c>
      <c r="U60" s="64">
        <v>3.2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12.1</v>
      </c>
      <c r="C63" s="64">
        <v>12.1</v>
      </c>
      <c r="D63" s="64">
        <v>12.1</v>
      </c>
      <c r="E63" s="64">
        <v>12.1</v>
      </c>
      <c r="F63" s="64">
        <v>12.1</v>
      </c>
      <c r="G63" s="64">
        <v>12.1</v>
      </c>
      <c r="H63" s="64">
        <v>12.1</v>
      </c>
      <c r="I63" s="64">
        <v>12.1</v>
      </c>
      <c r="J63" s="64">
        <v>12.1</v>
      </c>
      <c r="K63" s="64">
        <v>12.1</v>
      </c>
      <c r="L63" s="64">
        <v>12.1</v>
      </c>
      <c r="M63" s="64">
        <v>12.1</v>
      </c>
      <c r="N63" s="64">
        <v>12.1</v>
      </c>
      <c r="O63" s="64">
        <v>12.1</v>
      </c>
      <c r="P63" s="64">
        <v>12.1</v>
      </c>
      <c r="Q63" s="64">
        <v>12.1</v>
      </c>
      <c r="R63" s="64">
        <v>12.1</v>
      </c>
      <c r="S63" s="64">
        <v>12.1</v>
      </c>
      <c r="T63" s="64">
        <v>12.1</v>
      </c>
      <c r="U63" s="64">
        <v>10.6</v>
      </c>
      <c r="V63" s="64">
        <v>10.6</v>
      </c>
      <c r="W63" s="64">
        <v>10.6</v>
      </c>
      <c r="X63" s="64">
        <v>11.9</v>
      </c>
      <c r="Y63" s="64">
        <v>11.4</v>
      </c>
      <c r="Z63" s="64">
        <v>11.4</v>
      </c>
      <c r="AA63" s="64">
        <v>11.4</v>
      </c>
      <c r="AB63" s="64">
        <v>11.4</v>
      </c>
      <c r="AC63" s="64">
        <v>11.4</v>
      </c>
      <c r="AD63" s="64">
        <v>11.4</v>
      </c>
      <c r="AE63" s="64">
        <v>11.4</v>
      </c>
      <c r="AF63" s="64">
        <v>11.4</v>
      </c>
      <c r="AG63" s="54">
        <v>14.1</v>
      </c>
      <c r="AH63" s="47">
        <f t="shared" si="2"/>
        <v>12.1</v>
      </c>
      <c r="AI63" s="48">
        <f t="shared" si="3"/>
        <v>10.6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7.1</v>
      </c>
      <c r="C64" s="64">
        <v>7.1</v>
      </c>
      <c r="D64" s="64">
        <v>7.1</v>
      </c>
      <c r="E64" s="64">
        <v>7.1</v>
      </c>
      <c r="F64" s="64">
        <v>7.1</v>
      </c>
      <c r="G64" s="64">
        <v>7.1</v>
      </c>
      <c r="H64" s="64">
        <v>10</v>
      </c>
      <c r="I64" s="64">
        <v>10</v>
      </c>
      <c r="J64" s="64">
        <v>10</v>
      </c>
      <c r="K64" s="64">
        <v>10</v>
      </c>
      <c r="L64" s="64">
        <v>10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10</v>
      </c>
      <c r="V64" s="64">
        <v>13.8</v>
      </c>
      <c r="W64" s="64">
        <v>13.8</v>
      </c>
      <c r="X64" s="64">
        <v>14</v>
      </c>
      <c r="Y64" s="64">
        <v>13.9</v>
      </c>
      <c r="Z64" s="64">
        <v>13.9</v>
      </c>
      <c r="AA64" s="64">
        <v>13.9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14</v>
      </c>
      <c r="AI64" s="48">
        <f t="shared" si="3"/>
        <v>7.1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420.34000000000003</v>
      </c>
      <c r="C68" s="60">
        <v>420.34000000000003</v>
      </c>
      <c r="D68" s="60">
        <v>420.34000000000003</v>
      </c>
      <c r="E68" s="60">
        <v>420.34000000000003</v>
      </c>
      <c r="F68" s="60">
        <v>420.34000000000003</v>
      </c>
      <c r="G68" s="60">
        <v>420.34000000000003</v>
      </c>
      <c r="H68" s="60">
        <v>420.34000000000003</v>
      </c>
      <c r="I68" s="60">
        <f t="shared" ref="I68:AG68" si="6">SUM(I55:I67)</f>
        <v>393.84000000000003</v>
      </c>
      <c r="J68" s="60">
        <f t="shared" si="6"/>
        <v>395.14000000000004</v>
      </c>
      <c r="K68" s="60">
        <f t="shared" si="6"/>
        <v>393.84000000000003</v>
      </c>
      <c r="L68" s="60">
        <f t="shared" si="6"/>
        <v>393.84000000000003</v>
      </c>
      <c r="M68" s="60">
        <f t="shared" si="6"/>
        <v>414.14000000000004</v>
      </c>
      <c r="N68" s="60">
        <f t="shared" si="6"/>
        <v>399.14000000000004</v>
      </c>
      <c r="O68" s="60">
        <f t="shared" si="6"/>
        <v>399.14000000000004</v>
      </c>
      <c r="P68" s="60">
        <f t="shared" si="6"/>
        <v>415.54</v>
      </c>
      <c r="Q68" s="60">
        <f t="shared" si="6"/>
        <v>430.54</v>
      </c>
      <c r="R68" s="60">
        <f t="shared" si="6"/>
        <v>438.64000000000004</v>
      </c>
      <c r="S68" s="60">
        <f t="shared" si="6"/>
        <v>435.34000000000003</v>
      </c>
      <c r="T68" s="60">
        <f t="shared" si="6"/>
        <v>432.34000000000003</v>
      </c>
      <c r="U68" s="60">
        <f t="shared" si="6"/>
        <v>374.34</v>
      </c>
      <c r="V68" s="60">
        <f t="shared" si="6"/>
        <v>377.04</v>
      </c>
      <c r="W68" s="60">
        <f t="shared" si="6"/>
        <v>369.14</v>
      </c>
      <c r="X68" s="60">
        <f t="shared" si="6"/>
        <v>420.73999999999995</v>
      </c>
      <c r="Y68" s="60">
        <f t="shared" si="6"/>
        <v>423.93999999999994</v>
      </c>
      <c r="Z68" s="60">
        <f t="shared" si="6"/>
        <v>421.63999999999993</v>
      </c>
      <c r="AA68" s="60">
        <f t="shared" si="6"/>
        <v>421.63999999999993</v>
      </c>
      <c r="AB68" s="60">
        <f t="shared" si="6"/>
        <v>422.03999999999996</v>
      </c>
      <c r="AC68" s="60">
        <f t="shared" si="6"/>
        <v>422.03999999999996</v>
      </c>
      <c r="AD68" s="60">
        <f t="shared" si="6"/>
        <v>422.03999999999996</v>
      </c>
      <c r="AE68" s="60">
        <f t="shared" si="6"/>
        <v>422.03999999999996</v>
      </c>
      <c r="AF68" s="60">
        <f t="shared" si="6"/>
        <v>422.03999999999996</v>
      </c>
      <c r="AG68" s="61">
        <f t="shared" si="6"/>
        <v>489.91</v>
      </c>
      <c r="AH68" s="47">
        <f t="shared" si="2"/>
        <v>438.64000000000004</v>
      </c>
      <c r="AI68" s="48">
        <f t="shared" si="3"/>
        <v>369.14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/>
      <c r="M69" s="45">
        <v>13.6</v>
      </c>
      <c r="N69" s="45">
        <v>13.6</v>
      </c>
      <c r="O69" s="45">
        <v>14</v>
      </c>
      <c r="P69" s="45">
        <v>20.399999999999999</v>
      </c>
      <c r="Q69" s="45">
        <v>20.399999999999999</v>
      </c>
      <c r="R69" s="45">
        <v>13.7</v>
      </c>
      <c r="S69" s="45">
        <v>25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/>
      <c r="AD69" s="45"/>
      <c r="AE69" s="45"/>
      <c r="AF69" s="45"/>
      <c r="AG69" s="51">
        <v>60</v>
      </c>
      <c r="AH69" s="47">
        <f t="shared" si="2"/>
        <v>25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64"/>
      <c r="M70" s="64">
        <v>5.9</v>
      </c>
      <c r="N70" s="64">
        <v>5.9</v>
      </c>
      <c r="O70" s="64">
        <v>6.2</v>
      </c>
      <c r="P70" s="64">
        <v>9</v>
      </c>
      <c r="Q70" s="64">
        <v>9</v>
      </c>
      <c r="R70" s="64">
        <v>5.2</v>
      </c>
      <c r="S70" s="64">
        <v>10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/>
      <c r="AD70" s="64"/>
      <c r="AE70" s="64"/>
      <c r="AF70" s="64"/>
      <c r="AG70" s="54">
        <v>32</v>
      </c>
      <c r="AH70" s="47">
        <f t="shared" si="2"/>
        <v>10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66"/>
      <c r="M71" s="66">
        <v>2.2000000000000002</v>
      </c>
      <c r="N71" s="66">
        <v>2.2000000000000002</v>
      </c>
      <c r="O71" s="66">
        <v>2.2999999999999998</v>
      </c>
      <c r="P71" s="66">
        <v>3.3</v>
      </c>
      <c r="Q71" s="66">
        <v>3.3</v>
      </c>
      <c r="R71" s="66">
        <v>1.9</v>
      </c>
      <c r="S71" s="66">
        <v>4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/>
      <c r="AD71" s="66"/>
      <c r="AE71" s="66"/>
      <c r="AF71" s="66"/>
      <c r="AG71" s="67">
        <v>14</v>
      </c>
      <c r="AH71" s="47">
        <f t="shared" si="2"/>
        <v>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21.7</v>
      </c>
      <c r="N72" s="60">
        <f t="shared" si="7"/>
        <v>21.7</v>
      </c>
      <c r="O72" s="60">
        <f t="shared" si="7"/>
        <v>22.5</v>
      </c>
      <c r="P72" s="60">
        <f t="shared" si="7"/>
        <v>32.699999999999996</v>
      </c>
      <c r="Q72" s="60">
        <f t="shared" si="7"/>
        <v>32.699999999999996</v>
      </c>
      <c r="R72" s="60">
        <f t="shared" si="7"/>
        <v>20.799999999999997</v>
      </c>
      <c r="S72" s="60">
        <f t="shared" si="7"/>
        <v>39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39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-34</v>
      </c>
      <c r="C73" s="45">
        <v>-26</v>
      </c>
      <c r="D73" s="45">
        <v>-27</v>
      </c>
      <c r="E73" s="45">
        <v>-31.2</v>
      </c>
      <c r="F73" s="45">
        <v>-33.4</v>
      </c>
      <c r="G73" s="45">
        <v>-9.9</v>
      </c>
      <c r="H73" s="45">
        <v>-14.5</v>
      </c>
      <c r="I73" s="45">
        <v>-18.5</v>
      </c>
      <c r="J73" s="45">
        <v>-23.3</v>
      </c>
      <c r="K73" s="45">
        <v>-51</v>
      </c>
      <c r="L73" s="45">
        <v>-50</v>
      </c>
      <c r="M73" s="45">
        <v>-46</v>
      </c>
      <c r="N73" s="45">
        <v>-39</v>
      </c>
      <c r="O73" s="45">
        <v>-37.5</v>
      </c>
      <c r="P73" s="45">
        <v>-33.799999999999997</v>
      </c>
      <c r="Q73" s="45">
        <v>-40.6</v>
      </c>
      <c r="R73" s="45">
        <v>-47.3</v>
      </c>
      <c r="S73" s="45">
        <v>-45.5</v>
      </c>
      <c r="T73" s="45">
        <v>-46.5</v>
      </c>
      <c r="U73" s="45">
        <v>-44.7</v>
      </c>
      <c r="V73" s="45">
        <v>-46.3</v>
      </c>
      <c r="W73" s="45">
        <v>-43.3</v>
      </c>
      <c r="X73" s="45">
        <v>-42.9</v>
      </c>
      <c r="Y73" s="45">
        <v>-39.9</v>
      </c>
      <c r="Z73" s="45">
        <v>-25</v>
      </c>
      <c r="AA73" s="45">
        <v>-22.3</v>
      </c>
      <c r="AB73" s="45">
        <v>-27.4</v>
      </c>
      <c r="AC73" s="45">
        <v>6.3</v>
      </c>
      <c r="AD73" s="45">
        <v>-6</v>
      </c>
      <c r="AE73" s="45">
        <v>-36.9</v>
      </c>
      <c r="AF73" s="45">
        <v>-48</v>
      </c>
      <c r="AG73" s="51"/>
      <c r="AH73" s="47">
        <f t="shared" si="2"/>
        <v>6.3</v>
      </c>
      <c r="AI73" s="48">
        <f t="shared" si="3"/>
        <v>-51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 t="s">
        <v>278</v>
      </c>
      <c r="L74" s="64" t="s">
        <v>278</v>
      </c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-370</v>
      </c>
      <c r="C75" s="64">
        <v>-378</v>
      </c>
      <c r="D75" s="64">
        <v>-374.4</v>
      </c>
      <c r="E75" s="64">
        <v>-383.4</v>
      </c>
      <c r="F75" s="64">
        <v>-398.6</v>
      </c>
      <c r="G75" s="64">
        <v>-420.5</v>
      </c>
      <c r="H75" s="64">
        <v>-425.4</v>
      </c>
      <c r="I75" s="64">
        <v>-476.2</v>
      </c>
      <c r="J75" s="64">
        <v>-452.3</v>
      </c>
      <c r="K75" s="64">
        <v>-420</v>
      </c>
      <c r="L75" s="64">
        <v>-419</v>
      </c>
      <c r="M75" s="64">
        <v>-422</v>
      </c>
      <c r="N75" s="64">
        <v>-352</v>
      </c>
      <c r="O75" s="64">
        <v>-339</v>
      </c>
      <c r="P75" s="64">
        <v>-297</v>
      </c>
      <c r="Q75" s="64">
        <v>-334</v>
      </c>
      <c r="R75" s="64">
        <v>-325.10000000000002</v>
      </c>
      <c r="S75" s="64">
        <v>-387</v>
      </c>
      <c r="T75" s="64">
        <v>-396.4</v>
      </c>
      <c r="U75" s="64">
        <v>-331.2</v>
      </c>
      <c r="V75" s="64">
        <v>-411.6</v>
      </c>
      <c r="W75" s="64">
        <v>-412</v>
      </c>
      <c r="X75" s="64">
        <v>-381.6</v>
      </c>
      <c r="Y75" s="64">
        <v>-318</v>
      </c>
      <c r="Z75" s="64">
        <v>-317</v>
      </c>
      <c r="AA75" s="64">
        <v>-293.3</v>
      </c>
      <c r="AB75" s="64">
        <v>-319</v>
      </c>
      <c r="AC75" s="64">
        <v>-371</v>
      </c>
      <c r="AD75" s="64">
        <v>-333</v>
      </c>
      <c r="AE75" s="64">
        <v>-322.10000000000002</v>
      </c>
      <c r="AF75" s="64">
        <v>-326</v>
      </c>
      <c r="AG75" s="74"/>
      <c r="AH75" s="47">
        <f t="shared" si="2"/>
        <v>-293.3</v>
      </c>
      <c r="AI75" s="48">
        <f t="shared" si="3"/>
        <v>-476.2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45"/>
      <c r="D78" s="45"/>
      <c r="E78" s="45"/>
      <c r="F78" s="45"/>
      <c r="G78" s="45"/>
      <c r="H78" s="45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45"/>
      <c r="D79" s="45"/>
      <c r="E79" s="45"/>
      <c r="F79" s="45"/>
      <c r="G79" s="45"/>
      <c r="H79" s="45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45"/>
      <c r="E80" s="45"/>
      <c r="F80" s="45"/>
      <c r="G80" s="45"/>
      <c r="H80" s="45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45"/>
      <c r="E81" s="45"/>
      <c r="F81" s="45"/>
      <c r="G81" s="45"/>
      <c r="H81" s="45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45"/>
      <c r="E82" s="45"/>
      <c r="F82" s="45"/>
      <c r="G82" s="45"/>
      <c r="H82" s="45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45"/>
      <c r="E83" s="45"/>
      <c r="F83" s="45"/>
      <c r="G83" s="45"/>
      <c r="H83" s="45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60">
        <v>0</v>
      </c>
      <c r="I84" s="60">
        <f t="shared" ref="I84:AF84" si="10">SUMIF(I73:I83,"&gt;0")</f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/>
      <c r="AC84" s="60">
        <f t="shared" si="10"/>
        <v>6.3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6.3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2040.8400000000001</v>
      </c>
      <c r="C89" s="94">
        <v>2040.8400000000001</v>
      </c>
      <c r="D89" s="94">
        <v>2040.8400000000001</v>
      </c>
      <c r="E89" s="94">
        <v>2040.8400000000001</v>
      </c>
      <c r="F89" s="94">
        <v>2040.8400000000001</v>
      </c>
      <c r="G89" s="94">
        <v>2040.8400000000001</v>
      </c>
      <c r="H89" s="94">
        <v>2040.8400000000001</v>
      </c>
      <c r="I89" s="94">
        <f t="shared" ref="I89:AG89" si="11">I50+I54+I72+I68+I84+I88</f>
        <v>2014.3400000000001</v>
      </c>
      <c r="J89" s="94">
        <f t="shared" si="11"/>
        <v>2015.64</v>
      </c>
      <c r="K89" s="94">
        <f t="shared" si="11"/>
        <v>2014.3400000000001</v>
      </c>
      <c r="L89" s="94">
        <f t="shared" si="11"/>
        <v>2014.3400000000001</v>
      </c>
      <c r="M89" s="94">
        <f t="shared" si="11"/>
        <v>2053.04</v>
      </c>
      <c r="N89" s="94">
        <f t="shared" si="11"/>
        <v>2078.7400000000002</v>
      </c>
      <c r="O89" s="94">
        <f t="shared" si="11"/>
        <v>2079.54</v>
      </c>
      <c r="P89" s="94">
        <f t="shared" si="11"/>
        <v>2114.1400000000003</v>
      </c>
      <c r="Q89" s="94">
        <f t="shared" si="11"/>
        <v>2138.0400000000004</v>
      </c>
      <c r="R89" s="94">
        <f t="shared" si="11"/>
        <v>2110.14</v>
      </c>
      <c r="S89" s="94">
        <f t="shared" si="11"/>
        <v>2142.84</v>
      </c>
      <c r="T89" s="94">
        <f t="shared" si="11"/>
        <v>2100.84</v>
      </c>
      <c r="U89" s="94">
        <f t="shared" si="11"/>
        <v>1955.74</v>
      </c>
      <c r="V89" s="94">
        <f t="shared" si="11"/>
        <v>1959.6399999999999</v>
      </c>
      <c r="W89" s="94">
        <f t="shared" si="11"/>
        <v>1947.04</v>
      </c>
      <c r="X89" s="94">
        <f t="shared" si="11"/>
        <v>2007.5400000000002</v>
      </c>
      <c r="Y89" s="94">
        <f t="shared" si="11"/>
        <v>2085.94</v>
      </c>
      <c r="Z89" s="94">
        <f t="shared" si="11"/>
        <v>2120.14</v>
      </c>
      <c r="AA89" s="94">
        <f t="shared" si="11"/>
        <v>2059.3399999999997</v>
      </c>
      <c r="AB89" s="94">
        <f t="shared" si="11"/>
        <v>2078.54</v>
      </c>
      <c r="AC89" s="94">
        <f t="shared" si="11"/>
        <v>2065.0300000000002</v>
      </c>
      <c r="AD89" s="94">
        <f t="shared" si="11"/>
        <v>2039.23</v>
      </c>
      <c r="AE89" s="94">
        <f t="shared" si="11"/>
        <v>2039.23</v>
      </c>
      <c r="AF89" s="94">
        <f t="shared" si="11"/>
        <v>2039.23</v>
      </c>
      <c r="AG89" s="61">
        <f t="shared" si="11"/>
        <v>2111.5500000000002</v>
      </c>
      <c r="AH89" s="47">
        <f t="shared" si="8"/>
        <v>2142.84</v>
      </c>
      <c r="AI89" s="48">
        <f t="shared" si="9"/>
        <v>1947.04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2040.8400000000001</v>
      </c>
      <c r="C91" s="94">
        <v>2040.8400000000001</v>
      </c>
      <c r="D91" s="94">
        <v>2040.8400000000001</v>
      </c>
      <c r="E91" s="94">
        <v>2040.8400000000001</v>
      </c>
      <c r="F91" s="94">
        <v>2040.8400000000001</v>
      </c>
      <c r="G91" s="94">
        <v>2040.8400000000001</v>
      </c>
      <c r="H91" s="94">
        <v>2040.8400000000001</v>
      </c>
      <c r="I91" s="94">
        <f t="shared" ref="I91:AF91" si="12">I89+I90</f>
        <v>2014.3400000000001</v>
      </c>
      <c r="J91" s="94">
        <f t="shared" si="12"/>
        <v>2015.64</v>
      </c>
      <c r="K91" s="94">
        <f t="shared" si="12"/>
        <v>2014.3400000000001</v>
      </c>
      <c r="L91" s="94">
        <f t="shared" si="12"/>
        <v>2014.3400000000001</v>
      </c>
      <c r="M91" s="94">
        <f t="shared" si="12"/>
        <v>2053.04</v>
      </c>
      <c r="N91" s="94">
        <f t="shared" si="12"/>
        <v>2078.7400000000002</v>
      </c>
      <c r="O91" s="94">
        <f t="shared" si="12"/>
        <v>2079.54</v>
      </c>
      <c r="P91" s="94">
        <f t="shared" si="12"/>
        <v>2114.1400000000003</v>
      </c>
      <c r="Q91" s="94">
        <f t="shared" si="12"/>
        <v>2138.0400000000004</v>
      </c>
      <c r="R91" s="94">
        <f t="shared" si="12"/>
        <v>2110.14</v>
      </c>
      <c r="S91" s="94">
        <f t="shared" si="12"/>
        <v>2142.84</v>
      </c>
      <c r="T91" s="94">
        <f t="shared" si="12"/>
        <v>2100.84</v>
      </c>
      <c r="U91" s="94">
        <f t="shared" si="12"/>
        <v>1955.74</v>
      </c>
      <c r="V91" s="94">
        <f t="shared" si="12"/>
        <v>1959.6399999999999</v>
      </c>
      <c r="W91" s="94">
        <f t="shared" si="12"/>
        <v>1947.04</v>
      </c>
      <c r="X91" s="94">
        <f t="shared" si="12"/>
        <v>2007.5400000000002</v>
      </c>
      <c r="Y91" s="94">
        <f t="shared" si="12"/>
        <v>2085.94</v>
      </c>
      <c r="Z91" s="94">
        <f t="shared" si="12"/>
        <v>2120.14</v>
      </c>
      <c r="AA91" s="94">
        <f t="shared" si="12"/>
        <v>2059.3399999999997</v>
      </c>
      <c r="AB91" s="94">
        <f t="shared" si="12"/>
        <v>2078.54</v>
      </c>
      <c r="AC91" s="94">
        <f t="shared" si="12"/>
        <v>2065.0300000000002</v>
      </c>
      <c r="AD91" s="94">
        <f t="shared" si="12"/>
        <v>2039.23</v>
      </c>
      <c r="AE91" s="94">
        <f t="shared" si="12"/>
        <v>2039.23</v>
      </c>
      <c r="AF91" s="94">
        <f t="shared" si="12"/>
        <v>2039.23</v>
      </c>
      <c r="AG91" s="87">
        <f>AG88+AG84+AG72+AG68+AG50+AG90</f>
        <v>1573.45</v>
      </c>
      <c r="AH91" s="47">
        <f t="shared" si="8"/>
        <v>2142.84</v>
      </c>
      <c r="AI91" s="48">
        <f t="shared" si="9"/>
        <v>1947.04</v>
      </c>
    </row>
    <row r="92" spans="1:40" ht="15.75" thickBot="1" x14ac:dyDescent="0.3">
      <c r="A92" s="73" t="s">
        <v>103</v>
      </c>
      <c r="B92" s="94">
        <v>1708.8400000000001</v>
      </c>
      <c r="C92" s="94">
        <v>1708.8400000000001</v>
      </c>
      <c r="D92" s="94">
        <v>1708.8400000000001</v>
      </c>
      <c r="E92" s="94">
        <v>1708.8400000000001</v>
      </c>
      <c r="F92" s="94">
        <v>1708.8400000000001</v>
      </c>
      <c r="G92" s="94">
        <v>1708.8400000000001</v>
      </c>
      <c r="H92" s="94">
        <v>1708.8400000000001</v>
      </c>
      <c r="I92" s="94">
        <f t="shared" ref="I92:AF92" si="13">I91-(-I99)</f>
        <v>1538.14</v>
      </c>
      <c r="J92" s="94">
        <f t="shared" si="13"/>
        <v>1563.3400000000001</v>
      </c>
      <c r="K92" s="94">
        <f t="shared" si="13"/>
        <v>1594.3400000000001</v>
      </c>
      <c r="L92" s="94">
        <f t="shared" si="13"/>
        <v>1595.3400000000001</v>
      </c>
      <c r="M92" s="94">
        <f t="shared" si="13"/>
        <v>1631.04</v>
      </c>
      <c r="N92" s="94">
        <f t="shared" si="13"/>
        <v>1726.7400000000002</v>
      </c>
      <c r="O92" s="94">
        <f t="shared" si="13"/>
        <v>1740.54</v>
      </c>
      <c r="P92" s="94">
        <f t="shared" si="13"/>
        <v>1817.1400000000003</v>
      </c>
      <c r="Q92" s="94">
        <f t="shared" si="13"/>
        <v>1804.0400000000004</v>
      </c>
      <c r="R92" s="94">
        <f t="shared" si="13"/>
        <v>1785.04</v>
      </c>
      <c r="S92" s="94">
        <f t="shared" si="13"/>
        <v>1755.8400000000001</v>
      </c>
      <c r="T92" s="94">
        <f t="shared" si="13"/>
        <v>1704.44</v>
      </c>
      <c r="U92" s="94">
        <f t="shared" si="13"/>
        <v>1624.54</v>
      </c>
      <c r="V92" s="94">
        <f t="shared" si="13"/>
        <v>1548.04</v>
      </c>
      <c r="W92" s="94">
        <f t="shared" si="13"/>
        <v>1535.04</v>
      </c>
      <c r="X92" s="94">
        <f t="shared" si="13"/>
        <v>1625.94</v>
      </c>
      <c r="Y92" s="94">
        <f t="shared" si="13"/>
        <v>1767.94</v>
      </c>
      <c r="Z92" s="94">
        <f t="shared" si="13"/>
        <v>1803.1399999999999</v>
      </c>
      <c r="AA92" s="94">
        <f t="shared" si="13"/>
        <v>1766.0399999999997</v>
      </c>
      <c r="AB92" s="94">
        <f t="shared" si="13"/>
        <v>1759.54</v>
      </c>
      <c r="AC92" s="94">
        <f t="shared" si="13"/>
        <v>1694.0300000000002</v>
      </c>
      <c r="AD92" s="94">
        <f t="shared" si="13"/>
        <v>1706.23</v>
      </c>
      <c r="AE92" s="94">
        <f t="shared" si="13"/>
        <v>1717.13</v>
      </c>
      <c r="AF92" s="94">
        <f t="shared" si="13"/>
        <v>1713.23</v>
      </c>
      <c r="AG92" s="87"/>
      <c r="AH92" s="47">
        <f t="shared" si="8"/>
        <v>1817.1400000000003</v>
      </c>
      <c r="AI92" s="48">
        <f t="shared" si="9"/>
        <v>1535.04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v>-332</v>
      </c>
      <c r="C99" s="60">
        <v>-332</v>
      </c>
      <c r="D99" s="60">
        <v>-332</v>
      </c>
      <c r="E99" s="60">
        <v>-332</v>
      </c>
      <c r="F99" s="60">
        <v>-332</v>
      </c>
      <c r="G99" s="60">
        <v>-332</v>
      </c>
      <c r="H99" s="60">
        <v>-332</v>
      </c>
      <c r="I99" s="60">
        <f t="shared" ref="I99:AF99" si="14">I75</f>
        <v>-476.2</v>
      </c>
      <c r="J99" s="60">
        <f t="shared" si="14"/>
        <v>-452.3</v>
      </c>
      <c r="K99" s="60">
        <f t="shared" si="14"/>
        <v>-420</v>
      </c>
      <c r="L99" s="60">
        <f t="shared" si="14"/>
        <v>-419</v>
      </c>
      <c r="M99" s="60">
        <f t="shared" si="14"/>
        <v>-422</v>
      </c>
      <c r="N99" s="60">
        <f t="shared" si="14"/>
        <v>-352</v>
      </c>
      <c r="O99" s="60">
        <f t="shared" si="14"/>
        <v>-339</v>
      </c>
      <c r="P99" s="60">
        <f t="shared" si="14"/>
        <v>-297</v>
      </c>
      <c r="Q99" s="60">
        <f t="shared" si="14"/>
        <v>-334</v>
      </c>
      <c r="R99" s="60">
        <f t="shared" si="14"/>
        <v>-325.10000000000002</v>
      </c>
      <c r="S99" s="60">
        <f t="shared" si="14"/>
        <v>-387</v>
      </c>
      <c r="T99" s="60">
        <f t="shared" si="14"/>
        <v>-396.4</v>
      </c>
      <c r="U99" s="60">
        <f t="shared" si="14"/>
        <v>-331.2</v>
      </c>
      <c r="V99" s="60">
        <f t="shared" si="14"/>
        <v>-411.6</v>
      </c>
      <c r="W99" s="60">
        <f t="shared" si="14"/>
        <v>-412</v>
      </c>
      <c r="X99" s="60">
        <f t="shared" si="14"/>
        <v>-381.6</v>
      </c>
      <c r="Y99" s="60">
        <f t="shared" si="14"/>
        <v>-318</v>
      </c>
      <c r="Z99" s="60">
        <f t="shared" si="14"/>
        <v>-317</v>
      </c>
      <c r="AA99" s="60">
        <f t="shared" si="14"/>
        <v>-293.3</v>
      </c>
      <c r="AB99" s="60">
        <f t="shared" si="14"/>
        <v>-319</v>
      </c>
      <c r="AC99" s="60">
        <f t="shared" si="14"/>
        <v>-371</v>
      </c>
      <c r="AD99" s="60">
        <f t="shared" si="14"/>
        <v>-333</v>
      </c>
      <c r="AE99" s="60">
        <f t="shared" si="14"/>
        <v>-322.10000000000002</v>
      </c>
      <c r="AF99" s="60">
        <f t="shared" si="14"/>
        <v>-326</v>
      </c>
      <c r="AG99" s="87"/>
      <c r="AH99" s="47">
        <f t="shared" si="8"/>
        <v>-293.3</v>
      </c>
      <c r="AI99" s="48">
        <f t="shared" si="9"/>
        <v>-476.2</v>
      </c>
      <c r="AK99" s="50"/>
    </row>
    <row r="100" spans="1:37" ht="15.75" thickBot="1" x14ac:dyDescent="0.3">
      <c r="A100" s="73" t="s">
        <v>108</v>
      </c>
      <c r="B100" s="60">
        <v>332</v>
      </c>
      <c r="C100" s="60">
        <v>332</v>
      </c>
      <c r="D100" s="60">
        <v>332</v>
      </c>
      <c r="E100" s="60">
        <v>332</v>
      </c>
      <c r="F100" s="60">
        <v>332</v>
      </c>
      <c r="G100" s="60">
        <v>332</v>
      </c>
      <c r="H100" s="60">
        <v>332</v>
      </c>
      <c r="I100" s="60">
        <f t="shared" ref="I100:AF100" si="15">I84-I99</f>
        <v>476.2</v>
      </c>
      <c r="J100" s="60">
        <f t="shared" si="15"/>
        <v>452.3</v>
      </c>
      <c r="K100" s="60">
        <f t="shared" si="15"/>
        <v>420</v>
      </c>
      <c r="L100" s="60">
        <f t="shared" si="15"/>
        <v>419</v>
      </c>
      <c r="M100" s="60">
        <f t="shared" si="15"/>
        <v>422</v>
      </c>
      <c r="N100" s="60">
        <f t="shared" si="15"/>
        <v>352</v>
      </c>
      <c r="O100" s="60">
        <f t="shared" si="15"/>
        <v>339</v>
      </c>
      <c r="P100" s="60">
        <f t="shared" si="15"/>
        <v>297</v>
      </c>
      <c r="Q100" s="60">
        <f t="shared" si="15"/>
        <v>334</v>
      </c>
      <c r="R100" s="60">
        <f t="shared" si="15"/>
        <v>325.10000000000002</v>
      </c>
      <c r="S100" s="60">
        <f t="shared" si="15"/>
        <v>387</v>
      </c>
      <c r="T100" s="60">
        <f t="shared" si="15"/>
        <v>396.4</v>
      </c>
      <c r="U100" s="60">
        <f t="shared" si="15"/>
        <v>331.2</v>
      </c>
      <c r="V100" s="60">
        <f t="shared" si="15"/>
        <v>411.6</v>
      </c>
      <c r="W100" s="60">
        <f t="shared" si="15"/>
        <v>412</v>
      </c>
      <c r="X100" s="60">
        <f t="shared" si="15"/>
        <v>381.6</v>
      </c>
      <c r="Y100" s="60">
        <f t="shared" si="15"/>
        <v>318</v>
      </c>
      <c r="Z100" s="60">
        <f t="shared" si="15"/>
        <v>317</v>
      </c>
      <c r="AA100" s="60">
        <f t="shared" si="15"/>
        <v>293.3</v>
      </c>
      <c r="AB100" s="60">
        <f t="shared" si="15"/>
        <v>319</v>
      </c>
      <c r="AC100" s="60">
        <f t="shared" si="15"/>
        <v>377.3</v>
      </c>
      <c r="AD100" s="60">
        <f t="shared" si="15"/>
        <v>333</v>
      </c>
      <c r="AE100" s="60">
        <f t="shared" si="15"/>
        <v>322.10000000000002</v>
      </c>
      <c r="AF100" s="60">
        <f t="shared" si="15"/>
        <v>326</v>
      </c>
      <c r="AG100" s="87"/>
      <c r="AH100" s="47">
        <f t="shared" si="8"/>
        <v>476.2</v>
      </c>
      <c r="AI100" s="48">
        <f t="shared" si="9"/>
        <v>293.3</v>
      </c>
    </row>
    <row r="101" spans="1:37" x14ac:dyDescent="0.25">
      <c r="A101" s="99" t="s">
        <v>109</v>
      </c>
      <c r="B101" s="100">
        <v>49.97</v>
      </c>
      <c r="C101" s="100">
        <v>49.97</v>
      </c>
      <c r="D101" s="100">
        <v>49.98</v>
      </c>
      <c r="E101" s="100">
        <v>49.98</v>
      </c>
      <c r="F101" s="100">
        <v>50.05</v>
      </c>
      <c r="G101" s="100">
        <v>49.98</v>
      </c>
      <c r="H101" s="100">
        <v>50.113</v>
      </c>
      <c r="I101" s="100">
        <v>50.09</v>
      </c>
      <c r="J101" s="100">
        <v>50.04</v>
      </c>
      <c r="K101" s="100"/>
      <c r="L101" s="100"/>
      <c r="M101" s="100">
        <v>49.973999999999997</v>
      </c>
      <c r="N101" s="100">
        <v>50.08</v>
      </c>
      <c r="O101" s="100">
        <v>50.139000000000003</v>
      </c>
      <c r="P101" s="100">
        <v>50.018999999999998</v>
      </c>
      <c r="Q101" s="100">
        <v>49.941000000000003</v>
      </c>
      <c r="R101" s="100">
        <v>49.923999999999999</v>
      </c>
      <c r="S101" s="100">
        <v>50.06</v>
      </c>
      <c r="T101" s="100">
        <v>49.99</v>
      </c>
      <c r="U101" s="100">
        <v>49.969000000000001</v>
      </c>
      <c r="V101" s="100">
        <v>49.997999999999998</v>
      </c>
      <c r="W101" s="100">
        <v>50</v>
      </c>
      <c r="X101" s="100">
        <v>49.9</v>
      </c>
      <c r="Y101" s="100">
        <v>50.005000000000003</v>
      </c>
      <c r="Z101" s="100">
        <v>50.024000000000001</v>
      </c>
      <c r="AA101" s="100">
        <v>50.027000000000001</v>
      </c>
      <c r="AB101" s="100">
        <v>49.984999999999999</v>
      </c>
      <c r="AC101" s="100">
        <v>49.832999999999998</v>
      </c>
      <c r="AD101" s="100">
        <v>49.96</v>
      </c>
      <c r="AE101" s="100">
        <v>50.06</v>
      </c>
      <c r="AF101" s="100">
        <v>50.064</v>
      </c>
      <c r="AG101" s="101"/>
      <c r="AH101" s="47">
        <f t="shared" si="8"/>
        <v>50.139000000000003</v>
      </c>
      <c r="AI101" s="48">
        <f t="shared" si="9"/>
        <v>49.832999999999998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128.5</v>
      </c>
      <c r="C103" s="64">
        <v>128.5</v>
      </c>
      <c r="D103" s="64">
        <v>128.80000000000001</v>
      </c>
      <c r="E103" s="64">
        <v>128.80000000000001</v>
      </c>
      <c r="F103" s="64">
        <v>128.80000000000001</v>
      </c>
      <c r="G103" s="64">
        <v>128.80000000000001</v>
      </c>
      <c r="H103" s="64">
        <v>128.80000000000001</v>
      </c>
      <c r="I103" s="64">
        <v>128.80000000000001</v>
      </c>
      <c r="J103" s="64">
        <v>128.80000000000001</v>
      </c>
      <c r="K103" s="64"/>
      <c r="L103" s="64"/>
      <c r="M103" s="64">
        <v>124.7</v>
      </c>
      <c r="N103" s="64">
        <v>124.2</v>
      </c>
      <c r="O103" s="64">
        <v>123.2</v>
      </c>
      <c r="P103" s="64">
        <v>124.5</v>
      </c>
      <c r="Q103" s="64">
        <v>122.6</v>
      </c>
      <c r="R103" s="64">
        <v>124.3</v>
      </c>
      <c r="S103" s="64">
        <v>122</v>
      </c>
      <c r="T103" s="64">
        <v>125.1</v>
      </c>
      <c r="U103" s="64">
        <v>125.5</v>
      </c>
      <c r="V103" s="64">
        <v>126.5</v>
      </c>
      <c r="W103" s="64">
        <v>128.69999999999999</v>
      </c>
      <c r="X103" s="64">
        <v>128.6</v>
      </c>
      <c r="Y103" s="64">
        <v>126.7</v>
      </c>
      <c r="Z103" s="64">
        <v>126.5</v>
      </c>
      <c r="AA103" s="64">
        <v>127.3</v>
      </c>
      <c r="AB103" s="64">
        <v>128</v>
      </c>
      <c r="AC103" s="64">
        <v>127.8</v>
      </c>
      <c r="AD103" s="64">
        <v>128.30000000000001</v>
      </c>
      <c r="AE103" s="64">
        <v>129.30000000000001</v>
      </c>
      <c r="AF103" s="64">
        <v>128</v>
      </c>
      <c r="AG103" s="103"/>
      <c r="AH103" s="47">
        <f t="shared" si="8"/>
        <v>129.30000000000001</v>
      </c>
      <c r="AI103" s="48">
        <f t="shared" si="9"/>
        <v>122</v>
      </c>
    </row>
    <row r="104" spans="1:37" x14ac:dyDescent="0.25">
      <c r="A104" s="102" t="s">
        <v>112</v>
      </c>
      <c r="B104" s="64">
        <v>128.69999999999999</v>
      </c>
      <c r="C104" s="64">
        <v>128.69999999999999</v>
      </c>
      <c r="D104" s="64">
        <v>128.80000000000001</v>
      </c>
      <c r="E104" s="64">
        <v>128.80000000000001</v>
      </c>
      <c r="F104" s="64">
        <v>128.80000000000001</v>
      </c>
      <c r="G104" s="64">
        <v>128.80000000000001</v>
      </c>
      <c r="H104" s="64">
        <v>128.80000000000001</v>
      </c>
      <c r="I104" s="64">
        <v>128.80000000000001</v>
      </c>
      <c r="J104" s="64">
        <v>128.80000000000001</v>
      </c>
      <c r="K104" s="64"/>
      <c r="L104" s="64"/>
      <c r="M104" s="64">
        <v>127.7</v>
      </c>
      <c r="N104" s="64">
        <v>127</v>
      </c>
      <c r="O104" s="64">
        <v>124.5</v>
      </c>
      <c r="P104" s="64">
        <v>128.4</v>
      </c>
      <c r="Q104" s="64">
        <v>129.1</v>
      </c>
      <c r="R104" s="64">
        <v>125.2</v>
      </c>
      <c r="S104" s="64">
        <v>126.5</v>
      </c>
      <c r="T104" s="64">
        <v>127.8</v>
      </c>
      <c r="U104" s="64">
        <v>127.9</v>
      </c>
      <c r="V104" s="64">
        <v>129.19999999999999</v>
      </c>
      <c r="W104" s="64">
        <v>129</v>
      </c>
      <c r="X104" s="64">
        <v>127.8</v>
      </c>
      <c r="Y104" s="64">
        <v>124.6</v>
      </c>
      <c r="Z104" s="64">
        <v>127</v>
      </c>
      <c r="AA104" s="64">
        <v>126.6</v>
      </c>
      <c r="AB104" s="64">
        <v>127.4</v>
      </c>
      <c r="AC104" s="64">
        <v>128</v>
      </c>
      <c r="AD104" s="64">
        <v>127.7</v>
      </c>
      <c r="AE104" s="64">
        <v>127.3</v>
      </c>
      <c r="AF104" s="64">
        <v>129.69999999999999</v>
      </c>
      <c r="AG104" s="103"/>
      <c r="AH104" s="47">
        <f t="shared" si="8"/>
        <v>129.69999999999999</v>
      </c>
      <c r="AI104" s="48">
        <f t="shared" si="9"/>
        <v>124.5</v>
      </c>
    </row>
    <row r="105" spans="1:37" x14ac:dyDescent="0.25">
      <c r="A105" s="104" t="s">
        <v>113</v>
      </c>
      <c r="B105" s="64">
        <v>132</v>
      </c>
      <c r="C105" s="64">
        <v>132</v>
      </c>
      <c r="D105" s="64">
        <v>132.6</v>
      </c>
      <c r="E105" s="64">
        <v>132.6</v>
      </c>
      <c r="F105" s="64">
        <v>132.6</v>
      </c>
      <c r="G105" s="64">
        <v>132.6</v>
      </c>
      <c r="H105" s="64">
        <v>132.6</v>
      </c>
      <c r="I105" s="64">
        <v>132.6</v>
      </c>
      <c r="J105" s="64">
        <v>132.6</v>
      </c>
      <c r="K105" s="64"/>
      <c r="L105" s="64"/>
      <c r="M105" s="64">
        <v>128.4</v>
      </c>
      <c r="N105" s="64">
        <v>128.69999999999999</v>
      </c>
      <c r="O105" s="64">
        <v>126</v>
      </c>
      <c r="P105" s="64">
        <v>129.80000000000001</v>
      </c>
      <c r="Q105" s="64">
        <v>132</v>
      </c>
      <c r="R105" s="64">
        <v>128.6</v>
      </c>
      <c r="S105" s="64">
        <v>129.69999999999999</v>
      </c>
      <c r="T105" s="64">
        <v>130.5</v>
      </c>
      <c r="U105" s="64">
        <v>130.6</v>
      </c>
      <c r="V105" s="64">
        <v>130.80000000000001</v>
      </c>
      <c r="W105" s="64">
        <v>130</v>
      </c>
      <c r="X105" s="64">
        <v>128.9</v>
      </c>
      <c r="Y105" s="64">
        <v>126.3</v>
      </c>
      <c r="Z105" s="64">
        <v>129.9</v>
      </c>
      <c r="AA105" s="64">
        <v>128.69999999999999</v>
      </c>
      <c r="AB105" s="64">
        <v>129.4</v>
      </c>
      <c r="AC105" s="64">
        <v>130.19999999999999</v>
      </c>
      <c r="AD105" s="64">
        <v>129.9</v>
      </c>
      <c r="AE105" s="64">
        <v>130.6</v>
      </c>
      <c r="AF105" s="64">
        <v>133.1</v>
      </c>
      <c r="AG105" s="103"/>
      <c r="AH105" s="47">
        <f t="shared" si="8"/>
        <v>133.1</v>
      </c>
      <c r="AI105" s="48">
        <f t="shared" si="9"/>
        <v>126</v>
      </c>
    </row>
    <row r="106" spans="1:37" x14ac:dyDescent="0.25">
      <c r="A106" s="104" t="s">
        <v>114</v>
      </c>
      <c r="B106" s="105">
        <v>133</v>
      </c>
      <c r="C106" s="105">
        <v>133</v>
      </c>
      <c r="D106" s="105">
        <v>132.80000000000001</v>
      </c>
      <c r="E106" s="105">
        <v>132.80000000000001</v>
      </c>
      <c r="F106" s="105">
        <v>132.80000000000001</v>
      </c>
      <c r="G106" s="105">
        <v>132.80000000000001</v>
      </c>
      <c r="H106" s="105">
        <v>132.80000000000001</v>
      </c>
      <c r="I106" s="105">
        <v>132.80000000000001</v>
      </c>
      <c r="J106" s="105">
        <v>132.80000000000001</v>
      </c>
      <c r="K106" s="105"/>
      <c r="L106" s="105"/>
      <c r="M106" s="105">
        <v>131.6</v>
      </c>
      <c r="N106" s="105">
        <v>130.69999999999999</v>
      </c>
      <c r="O106" s="105">
        <v>129.19999999999999</v>
      </c>
      <c r="P106" s="105">
        <v>131.5</v>
      </c>
      <c r="Q106" s="105">
        <v>130.19999999999999</v>
      </c>
      <c r="R106" s="105">
        <v>130.9</v>
      </c>
      <c r="S106" s="105">
        <v>130.9</v>
      </c>
      <c r="T106" s="105">
        <v>132.69999999999999</v>
      </c>
      <c r="U106" s="105">
        <v>133.5</v>
      </c>
      <c r="V106" s="105">
        <v>131.30000000000001</v>
      </c>
      <c r="W106" s="105">
        <v>133</v>
      </c>
      <c r="X106" s="105">
        <v>132.1</v>
      </c>
      <c r="Y106" s="105">
        <v>132.30000000000001</v>
      </c>
      <c r="Z106" s="105">
        <v>132.69999999999999</v>
      </c>
      <c r="AA106" s="105">
        <v>132.9</v>
      </c>
      <c r="AB106" s="105">
        <v>130.6</v>
      </c>
      <c r="AC106" s="105">
        <v>133.19999999999999</v>
      </c>
      <c r="AD106" s="105">
        <v>134.19999999999999</v>
      </c>
      <c r="AE106" s="105">
        <v>133.69999999999999</v>
      </c>
      <c r="AF106" s="105">
        <v>132.9</v>
      </c>
      <c r="AG106" s="106"/>
      <c r="AH106" s="47">
        <f t="shared" si="8"/>
        <v>134.19999999999999</v>
      </c>
      <c r="AI106" s="48">
        <f t="shared" si="9"/>
        <v>129.19999999999999</v>
      </c>
    </row>
    <row r="107" spans="1:37" x14ac:dyDescent="0.25">
      <c r="A107" s="102" t="s">
        <v>115</v>
      </c>
      <c r="B107" s="64">
        <v>133</v>
      </c>
      <c r="C107" s="64">
        <v>133</v>
      </c>
      <c r="D107" s="64">
        <v>133</v>
      </c>
      <c r="E107" s="64">
        <v>133</v>
      </c>
      <c r="F107" s="64">
        <v>133</v>
      </c>
      <c r="G107" s="64">
        <v>133</v>
      </c>
      <c r="H107" s="64">
        <v>133</v>
      </c>
      <c r="I107" s="64">
        <v>133</v>
      </c>
      <c r="J107" s="64">
        <v>133</v>
      </c>
      <c r="K107" s="64"/>
      <c r="L107" s="64"/>
      <c r="M107" s="64">
        <v>131</v>
      </c>
      <c r="N107" s="64">
        <v>127</v>
      </c>
      <c r="O107" s="64">
        <v>126.5</v>
      </c>
      <c r="P107" s="64">
        <v>128.30000000000001</v>
      </c>
      <c r="Q107" s="64">
        <v>128.30000000000001</v>
      </c>
      <c r="R107" s="64">
        <v>128</v>
      </c>
      <c r="S107" s="64">
        <v>128</v>
      </c>
      <c r="T107" s="64">
        <v>136.6</v>
      </c>
      <c r="U107" s="64">
        <v>136.80000000000001</v>
      </c>
      <c r="V107" s="64">
        <v>133.69999999999999</v>
      </c>
      <c r="W107" s="64">
        <v>135</v>
      </c>
      <c r="X107" s="64">
        <v>132.4</v>
      </c>
      <c r="Y107" s="64">
        <v>134.5</v>
      </c>
      <c r="Z107" s="64">
        <v>136</v>
      </c>
      <c r="AA107" s="64">
        <v>134.6</v>
      </c>
      <c r="AB107" s="64">
        <v>130.4</v>
      </c>
      <c r="AC107" s="64">
        <v>134.9</v>
      </c>
      <c r="AD107" s="64">
        <v>133.30000000000001</v>
      </c>
      <c r="AE107" s="64">
        <v>134.69999999999999</v>
      </c>
      <c r="AF107" s="64">
        <v>128.9</v>
      </c>
      <c r="AG107" s="103"/>
      <c r="AH107" s="47">
        <f t="shared" si="8"/>
        <v>136.80000000000001</v>
      </c>
      <c r="AI107" s="48">
        <f t="shared" si="9"/>
        <v>126.5</v>
      </c>
    </row>
    <row r="108" spans="1:37" ht="15.75" thickBot="1" x14ac:dyDescent="0.3">
      <c r="A108" s="102" t="s">
        <v>116</v>
      </c>
      <c r="B108" s="91">
        <v>64.8</v>
      </c>
      <c r="C108" s="91">
        <v>64.8</v>
      </c>
      <c r="D108" s="91">
        <v>65</v>
      </c>
      <c r="E108" s="91">
        <v>65</v>
      </c>
      <c r="F108" s="91">
        <v>65</v>
      </c>
      <c r="G108" s="91">
        <v>65</v>
      </c>
      <c r="H108" s="91">
        <v>65</v>
      </c>
      <c r="I108" s="91">
        <v>65</v>
      </c>
      <c r="J108" s="91">
        <v>65</v>
      </c>
      <c r="K108" s="91"/>
      <c r="L108" s="91"/>
      <c r="M108" s="91">
        <v>62.9</v>
      </c>
      <c r="N108" s="91">
        <v>62.6</v>
      </c>
      <c r="O108" s="91">
        <v>61.8</v>
      </c>
      <c r="P108" s="91">
        <v>62.6</v>
      </c>
      <c r="Q108" s="91">
        <v>64.5</v>
      </c>
      <c r="R108" s="91">
        <v>62.3</v>
      </c>
      <c r="S108" s="91">
        <v>62.3</v>
      </c>
      <c r="T108" s="91">
        <v>62.6</v>
      </c>
      <c r="U108" s="91">
        <v>63.1</v>
      </c>
      <c r="V108" s="91">
        <v>64</v>
      </c>
      <c r="W108" s="91">
        <v>64.8</v>
      </c>
      <c r="X108" s="91">
        <v>64.599999999999994</v>
      </c>
      <c r="Y108" s="91">
        <v>63.9</v>
      </c>
      <c r="Z108" s="91">
        <v>63.7</v>
      </c>
      <c r="AA108" s="91">
        <v>64</v>
      </c>
      <c r="AB108" s="91">
        <v>64.400000000000006</v>
      </c>
      <c r="AC108" s="91">
        <v>64.3</v>
      </c>
      <c r="AD108" s="91">
        <v>64.599999999999994</v>
      </c>
      <c r="AE108" s="91">
        <v>65.099999999999994</v>
      </c>
      <c r="AF108" s="91">
        <v>64.599999999999994</v>
      </c>
      <c r="AG108" s="107"/>
      <c r="AH108" s="47">
        <f t="shared" si="8"/>
        <v>65.099999999999994</v>
      </c>
      <c r="AI108" s="48">
        <f t="shared" si="9"/>
        <v>61.8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77.699999999999989</v>
      </c>
      <c r="C110" s="110">
        <v>77.699999999999989</v>
      </c>
      <c r="D110" s="110">
        <v>77.699999999999989</v>
      </c>
      <c r="E110" s="110">
        <v>77.699999999999989</v>
      </c>
      <c r="F110" s="110">
        <v>77.699999999999989</v>
      </c>
      <c r="G110" s="110">
        <v>77.699999999999989</v>
      </c>
      <c r="H110" s="110">
        <v>77.699999999999989</v>
      </c>
      <c r="I110" s="110">
        <f t="shared" ref="I110:O110" si="16">SUM(I20,I26,I29:I30,I58,I60:I61,I63,I65,I111:I115,I138,I144,I150,I159,I161,I173,I180,I183:I184,I191,I193,I195,I199:I201,I203:I205,I210,I216:I217,I219:I221,I229,I234)</f>
        <v>107.14000000000001</v>
      </c>
      <c r="J110" s="110">
        <f t="shared" si="16"/>
        <v>130.33999999999997</v>
      </c>
      <c r="K110" s="110">
        <f t="shared" si="16"/>
        <v>160.23999999999998</v>
      </c>
      <c r="L110" s="110">
        <f t="shared" si="16"/>
        <v>160.23999999999998</v>
      </c>
      <c r="M110" s="110">
        <f t="shared" si="16"/>
        <v>208.53999999999996</v>
      </c>
      <c r="N110" s="110">
        <f t="shared" si="16"/>
        <v>202.14</v>
      </c>
      <c r="O110" s="110">
        <f t="shared" si="16"/>
        <v>219.13999999999993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225.5</v>
      </c>
      <c r="R110" s="110">
        <f t="shared" si="17"/>
        <v>222.7</v>
      </c>
      <c r="S110" s="110">
        <f t="shared" si="17"/>
        <v>219.40000000000003</v>
      </c>
      <c r="T110" s="110">
        <f t="shared" si="17"/>
        <v>206.00000000000003</v>
      </c>
      <c r="U110" s="110">
        <f t="shared" si="17"/>
        <v>204.3</v>
      </c>
      <c r="V110" s="110">
        <f t="shared" si="17"/>
        <v>193.7</v>
      </c>
      <c r="W110" s="110">
        <f t="shared" si="17"/>
        <v>198.2</v>
      </c>
      <c r="X110" s="110">
        <f t="shared" si="17"/>
        <v>216.7</v>
      </c>
      <c r="Y110" s="110">
        <f t="shared" si="17"/>
        <v>251.6</v>
      </c>
      <c r="Z110" s="110">
        <f t="shared" si="17"/>
        <v>260.10000000000002</v>
      </c>
      <c r="AA110" s="110">
        <f t="shared" si="17"/>
        <v>233.80000000000004</v>
      </c>
      <c r="AB110" s="110">
        <f t="shared" si="17"/>
        <v>196.7</v>
      </c>
      <c r="AC110" s="110">
        <f t="shared" si="17"/>
        <v>189.10000000000002</v>
      </c>
      <c r="AD110" s="110"/>
      <c r="AE110" s="110">
        <f t="shared" si="17"/>
        <v>120.60000000000001</v>
      </c>
      <c r="AF110" s="110">
        <f t="shared" si="17"/>
        <v>77.800000000000011</v>
      </c>
      <c r="AG110" s="111"/>
      <c r="AH110" s="47">
        <f t="shared" si="8"/>
        <v>260.10000000000002</v>
      </c>
      <c r="AI110" s="48">
        <f t="shared" si="9"/>
        <v>42</v>
      </c>
    </row>
    <row r="111" spans="1:37" x14ac:dyDescent="0.25">
      <c r="A111" s="99" t="s">
        <v>119</v>
      </c>
      <c r="B111" s="112">
        <v>27</v>
      </c>
      <c r="C111" s="112">
        <v>27</v>
      </c>
      <c r="D111" s="112">
        <v>27</v>
      </c>
      <c r="E111" s="112">
        <v>21.4</v>
      </c>
      <c r="F111" s="112">
        <v>12.4</v>
      </c>
      <c r="G111" s="112">
        <v>27</v>
      </c>
      <c r="H111" s="112">
        <v>42.6</v>
      </c>
      <c r="I111" s="112">
        <v>53.2</v>
      </c>
      <c r="J111" s="112">
        <v>67.599999999999994</v>
      </c>
      <c r="K111" s="112"/>
      <c r="L111" s="112"/>
      <c r="M111" s="112">
        <v>74</v>
      </c>
      <c r="N111" s="112">
        <v>61.2</v>
      </c>
      <c r="O111" s="112">
        <v>59.1</v>
      </c>
      <c r="P111" s="112">
        <v>53.7</v>
      </c>
      <c r="Q111" s="112">
        <v>62</v>
      </c>
      <c r="R111" s="112">
        <v>62.4</v>
      </c>
      <c r="S111" s="112">
        <v>62.4</v>
      </c>
      <c r="T111" s="112">
        <v>39.9</v>
      </c>
      <c r="U111" s="112">
        <v>44.4</v>
      </c>
      <c r="V111" s="112">
        <v>44.1</v>
      </c>
      <c r="W111" s="112">
        <v>41.8</v>
      </c>
      <c r="X111" s="112">
        <v>43.6</v>
      </c>
      <c r="Y111" s="112">
        <v>50.1</v>
      </c>
      <c r="Z111" s="112">
        <v>49.9</v>
      </c>
      <c r="AA111" s="112">
        <v>48.5</v>
      </c>
      <c r="AB111" s="112">
        <v>39.5</v>
      </c>
      <c r="AC111" s="112">
        <v>38.9</v>
      </c>
      <c r="AD111" s="112">
        <v>32.9</v>
      </c>
      <c r="AE111" s="112">
        <v>25.8</v>
      </c>
      <c r="AF111" s="112">
        <v>20.399999999999999</v>
      </c>
      <c r="AG111" s="113">
        <v>75</v>
      </c>
      <c r="AH111" s="47">
        <f t="shared" si="8"/>
        <v>74</v>
      </c>
      <c r="AI111" s="48">
        <f t="shared" si="9"/>
        <v>12.4</v>
      </c>
    </row>
    <row r="112" spans="1:37" x14ac:dyDescent="0.25">
      <c r="A112" s="102" t="s">
        <v>120</v>
      </c>
      <c r="B112" s="114">
        <v>42</v>
      </c>
      <c r="C112" s="114">
        <v>42</v>
      </c>
      <c r="D112" s="114">
        <v>42</v>
      </c>
      <c r="E112" s="114">
        <v>33.799999999999997</v>
      </c>
      <c r="F112" s="114">
        <v>39.200000000000003</v>
      </c>
      <c r="G112" s="114">
        <v>42</v>
      </c>
      <c r="H112" s="114">
        <v>58.8</v>
      </c>
      <c r="I112" s="114">
        <v>73.099999999999994</v>
      </c>
      <c r="J112" s="114">
        <v>91.5</v>
      </c>
      <c r="K112" s="114"/>
      <c r="L112" s="114"/>
      <c r="M112" s="114">
        <v>108</v>
      </c>
      <c r="N112" s="114">
        <v>89</v>
      </c>
      <c r="O112" s="114">
        <v>86.9</v>
      </c>
      <c r="P112" s="114">
        <v>76.2</v>
      </c>
      <c r="Q112" s="114">
        <v>91.5</v>
      </c>
      <c r="R112" s="114">
        <v>89.4</v>
      </c>
      <c r="S112" s="114">
        <v>89.4</v>
      </c>
      <c r="T112" s="114">
        <v>57.6</v>
      </c>
      <c r="U112" s="114">
        <v>59.9</v>
      </c>
      <c r="V112" s="114">
        <v>60.8</v>
      </c>
      <c r="W112" s="114">
        <v>55.4</v>
      </c>
      <c r="X112" s="114">
        <v>58.4</v>
      </c>
      <c r="Y112" s="114">
        <v>70.8</v>
      </c>
      <c r="Z112" s="114">
        <v>72.400000000000006</v>
      </c>
      <c r="AA112" s="114">
        <v>70.599999999999994</v>
      </c>
      <c r="AB112" s="114">
        <v>56.9</v>
      </c>
      <c r="AC112" s="114">
        <v>54.6</v>
      </c>
      <c r="AD112" s="114">
        <v>44.6</v>
      </c>
      <c r="AE112" s="114">
        <v>36</v>
      </c>
      <c r="AF112" s="114">
        <v>32.799999999999997</v>
      </c>
      <c r="AG112" s="113">
        <v>240</v>
      </c>
      <c r="AH112" s="47">
        <f t="shared" si="8"/>
        <v>108</v>
      </c>
      <c r="AI112" s="48">
        <f t="shared" si="9"/>
        <v>32.799999999999997</v>
      </c>
    </row>
    <row r="113" spans="1:37" x14ac:dyDescent="0.25">
      <c r="A113" s="102" t="s">
        <v>121</v>
      </c>
      <c r="B113" s="114">
        <v>-170</v>
      </c>
      <c r="C113" s="114">
        <v>-170</v>
      </c>
      <c r="D113" s="114">
        <v>-170</v>
      </c>
      <c r="E113" s="114">
        <v>-169.8</v>
      </c>
      <c r="F113" s="114">
        <v>-170.5</v>
      </c>
      <c r="G113" s="114">
        <v>-170</v>
      </c>
      <c r="H113" s="114">
        <v>-170</v>
      </c>
      <c r="I113" s="114">
        <v>-172.5</v>
      </c>
      <c r="J113" s="114">
        <v>-185</v>
      </c>
      <c r="K113" s="114"/>
      <c r="L113" s="114"/>
      <c r="M113" s="114">
        <v>-187</v>
      </c>
      <c r="N113" s="114">
        <v>-180</v>
      </c>
      <c r="O113" s="114">
        <v>-170</v>
      </c>
      <c r="P113" s="114">
        <v>-170</v>
      </c>
      <c r="Q113" s="114">
        <v>-180</v>
      </c>
      <c r="R113" s="114">
        <f>-89.6-86.8</f>
        <v>-176.39999999999998</v>
      </c>
      <c r="S113" s="114">
        <f>-89.6-86.8</f>
        <v>-176.39999999999998</v>
      </c>
      <c r="T113" s="114">
        <v>-135</v>
      </c>
      <c r="U113" s="114">
        <v>-108</v>
      </c>
      <c r="V113" s="114">
        <v>-115</v>
      </c>
      <c r="W113" s="114">
        <v>-103</v>
      </c>
      <c r="X113" s="114">
        <v>-100</v>
      </c>
      <c r="Y113" s="114">
        <v>-107</v>
      </c>
      <c r="Z113" s="114">
        <v>-109</v>
      </c>
      <c r="AA113" s="114">
        <v>-111</v>
      </c>
      <c r="AB113" s="114">
        <f>-64.5-62.9</f>
        <v>-127.4</v>
      </c>
      <c r="AC113" s="114">
        <v>-120</v>
      </c>
      <c r="AD113" s="114">
        <v>-120</v>
      </c>
      <c r="AE113" s="114">
        <v>-135</v>
      </c>
      <c r="AF113" s="114">
        <v>-140</v>
      </c>
      <c r="AG113" s="113">
        <v>240</v>
      </c>
      <c r="AH113" s="47">
        <f t="shared" si="8"/>
        <v>-100</v>
      </c>
      <c r="AI113" s="48">
        <f t="shared" si="9"/>
        <v>-187</v>
      </c>
    </row>
    <row r="114" spans="1:37" x14ac:dyDescent="0.25">
      <c r="A114" s="102" t="s">
        <v>122</v>
      </c>
      <c r="B114" s="114">
        <v>-14</v>
      </c>
      <c r="C114" s="114">
        <v>-14</v>
      </c>
      <c r="D114" s="114">
        <v>-14</v>
      </c>
      <c r="E114" s="114">
        <v>-14</v>
      </c>
      <c r="F114" s="114">
        <v>-13.9</v>
      </c>
      <c r="G114" s="114">
        <v>-14</v>
      </c>
      <c r="H114" s="114">
        <v>-7.9</v>
      </c>
      <c r="I114" s="114">
        <v>-6.9</v>
      </c>
      <c r="J114" s="114">
        <v>-5.3</v>
      </c>
      <c r="K114" s="114"/>
      <c r="L114" s="114"/>
      <c r="M114" s="114">
        <v>3</v>
      </c>
      <c r="N114" s="114">
        <v>0.8</v>
      </c>
      <c r="O114" s="114">
        <v>2.4</v>
      </c>
      <c r="P114" s="114">
        <v>8.4</v>
      </c>
      <c r="Q114" s="114">
        <v>8</v>
      </c>
      <c r="R114" s="114">
        <v>2.4</v>
      </c>
      <c r="S114" s="114">
        <v>2.4</v>
      </c>
      <c r="T114" s="114">
        <v>1.3</v>
      </c>
      <c r="U114" s="114">
        <v>0.8</v>
      </c>
      <c r="V114" s="114">
        <v>0.7</v>
      </c>
      <c r="W114" s="114">
        <v>6.1</v>
      </c>
      <c r="X114" s="114">
        <v>11</v>
      </c>
      <c r="Y114" s="114">
        <v>3</v>
      </c>
      <c r="Z114" s="114">
        <v>4.2</v>
      </c>
      <c r="AA114" s="114">
        <v>0.8</v>
      </c>
      <c r="AB114" s="114">
        <v>2.5</v>
      </c>
      <c r="AC114" s="114">
        <v>0.9</v>
      </c>
      <c r="AD114" s="114">
        <v>1</v>
      </c>
      <c r="AE114" s="114">
        <v>-5</v>
      </c>
      <c r="AF114" s="114">
        <v>-6</v>
      </c>
      <c r="AG114" s="113">
        <v>60</v>
      </c>
      <c r="AH114" s="47">
        <f t="shared" si="8"/>
        <v>11</v>
      </c>
      <c r="AI114" s="48">
        <f t="shared" si="9"/>
        <v>-14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/>
      <c r="L115" s="116"/>
      <c r="M115" s="116">
        <v>34</v>
      </c>
      <c r="N115" s="116">
        <v>44</v>
      </c>
      <c r="O115" s="116">
        <v>53.6</v>
      </c>
      <c r="P115" s="116">
        <v>55.3</v>
      </c>
      <c r="Q115" s="116">
        <v>39</v>
      </c>
      <c r="R115" s="116">
        <v>39.799999999999997</v>
      </c>
      <c r="S115" s="116">
        <v>39.799999999999997</v>
      </c>
      <c r="T115" s="116">
        <v>43.4</v>
      </c>
      <c r="U115" s="116">
        <v>28.3</v>
      </c>
      <c r="V115" s="116">
        <v>31.7</v>
      </c>
      <c r="W115" s="116">
        <v>32.200000000000003</v>
      </c>
      <c r="X115" s="116">
        <v>32.200000000000003</v>
      </c>
      <c r="Y115" s="116">
        <v>38.4</v>
      </c>
      <c r="Z115" s="116">
        <v>46.6</v>
      </c>
      <c r="AA115" s="116">
        <v>33.9</v>
      </c>
      <c r="AB115" s="116">
        <v>38.9</v>
      </c>
      <c r="AC115" s="116">
        <v>39.1</v>
      </c>
      <c r="AD115" s="116">
        <v>27.5</v>
      </c>
      <c r="AE115" s="116">
        <v>28.2</v>
      </c>
      <c r="AF115" s="116">
        <v>0</v>
      </c>
      <c r="AG115" s="117">
        <v>120</v>
      </c>
      <c r="AH115" s="47">
        <f t="shared" si="8"/>
        <v>55.3</v>
      </c>
      <c r="AI115" s="48">
        <f t="shared" si="9"/>
        <v>0</v>
      </c>
    </row>
    <row r="116" spans="1:37" x14ac:dyDescent="0.25">
      <c r="A116" s="115" t="s">
        <v>124</v>
      </c>
      <c r="B116" s="116">
        <v>80</v>
      </c>
      <c r="C116" s="116">
        <v>80</v>
      </c>
      <c r="D116" s="116">
        <v>62</v>
      </c>
      <c r="E116" s="116">
        <v>61.2</v>
      </c>
      <c r="F116" s="116">
        <v>51</v>
      </c>
      <c r="G116" s="116">
        <v>95.5</v>
      </c>
      <c r="H116" s="116">
        <v>81.5</v>
      </c>
      <c r="I116" s="116">
        <v>55.2</v>
      </c>
      <c r="J116" s="116">
        <v>72.5</v>
      </c>
      <c r="K116" s="116"/>
      <c r="L116" s="116"/>
      <c r="M116" s="116">
        <v>24</v>
      </c>
      <c r="N116" s="116">
        <v>51</v>
      </c>
      <c r="O116" s="116">
        <v>61</v>
      </c>
      <c r="P116" s="116">
        <v>61</v>
      </c>
      <c r="Q116" s="116">
        <v>81</v>
      </c>
      <c r="R116" s="116">
        <v>79.7</v>
      </c>
      <c r="S116" s="116">
        <v>79.7</v>
      </c>
      <c r="T116" s="116">
        <v>0</v>
      </c>
      <c r="U116" s="116">
        <v>57.7</v>
      </c>
      <c r="V116" s="116">
        <v>23.7</v>
      </c>
      <c r="W116" s="116">
        <v>21.5</v>
      </c>
      <c r="X116" s="116">
        <v>12.2</v>
      </c>
      <c r="Y116" s="116">
        <v>34.299999999999997</v>
      </c>
      <c r="Z116" s="116">
        <v>42.6</v>
      </c>
      <c r="AA116" s="116">
        <v>39.9</v>
      </c>
      <c r="AB116" s="116">
        <v>53.4</v>
      </c>
      <c r="AC116" s="116">
        <v>43</v>
      </c>
      <c r="AD116" s="116">
        <v>49</v>
      </c>
      <c r="AE116" s="116">
        <v>23.6</v>
      </c>
      <c r="AF116" s="116">
        <v>54</v>
      </c>
      <c r="AG116" s="117"/>
      <c r="AH116" s="47">
        <f t="shared" si="8"/>
        <v>95.5</v>
      </c>
      <c r="AI116" s="48">
        <f t="shared" si="9"/>
        <v>0</v>
      </c>
    </row>
    <row r="117" spans="1:37" x14ac:dyDescent="0.25">
      <c r="A117" s="115" t="s">
        <v>125</v>
      </c>
      <c r="B117" s="116">
        <v>23</v>
      </c>
      <c r="C117" s="116">
        <v>23</v>
      </c>
      <c r="D117" s="116">
        <v>24</v>
      </c>
      <c r="E117" s="116">
        <v>91.2</v>
      </c>
      <c r="F117" s="116">
        <v>17.100000000000001</v>
      </c>
      <c r="G117" s="116">
        <v>24</v>
      </c>
      <c r="H117" s="116">
        <v>1.1000000000000001</v>
      </c>
      <c r="I117" s="116">
        <v>-4.0999999999999996</v>
      </c>
      <c r="J117" s="116">
        <v>-17.100000000000001</v>
      </c>
      <c r="K117" s="116"/>
      <c r="L117" s="116"/>
      <c r="M117" s="116">
        <v>-3</v>
      </c>
      <c r="N117" s="116">
        <v>0.9</v>
      </c>
      <c r="O117" s="116">
        <v>6.7</v>
      </c>
      <c r="P117" s="116">
        <v>16</v>
      </c>
      <c r="Q117" s="116">
        <v>7.5</v>
      </c>
      <c r="R117" s="116">
        <v>7.5</v>
      </c>
      <c r="S117" s="116">
        <v>7.5</v>
      </c>
      <c r="T117" s="116">
        <v>-12.9</v>
      </c>
      <c r="U117" s="116">
        <v>-40.700000000000003</v>
      </c>
      <c r="V117" s="116">
        <v>-25.4</v>
      </c>
      <c r="W117" s="116">
        <v>-30.7</v>
      </c>
      <c r="X117" s="116">
        <v>-22.9</v>
      </c>
      <c r="Y117" s="116">
        <v>-19.399999999999999</v>
      </c>
      <c r="Z117" s="116">
        <v>-3.5</v>
      </c>
      <c r="AA117" s="116">
        <v>-11.5</v>
      </c>
      <c r="AB117" s="116">
        <v>-1.4</v>
      </c>
      <c r="AC117" s="116">
        <v>-19.399999999999999</v>
      </c>
      <c r="AD117" s="116">
        <v>-18</v>
      </c>
      <c r="AE117" s="116">
        <v>-5</v>
      </c>
      <c r="AF117" s="116">
        <v>4</v>
      </c>
      <c r="AG117" s="118"/>
      <c r="AH117" s="47">
        <f t="shared" si="8"/>
        <v>91.2</v>
      </c>
      <c r="AI117" s="48">
        <f t="shared" si="9"/>
        <v>-40.700000000000003</v>
      </c>
    </row>
    <row r="118" spans="1:37" x14ac:dyDescent="0.25">
      <c r="A118" s="119" t="s">
        <v>126</v>
      </c>
      <c r="B118" s="105">
        <v>46</v>
      </c>
      <c r="C118" s="105">
        <v>46</v>
      </c>
      <c r="D118" s="105">
        <v>49</v>
      </c>
      <c r="E118" s="105">
        <v>49</v>
      </c>
      <c r="F118" s="105">
        <v>55.4</v>
      </c>
      <c r="G118" s="105">
        <v>49</v>
      </c>
      <c r="H118" s="105">
        <v>58.6</v>
      </c>
      <c r="I118" s="105">
        <v>58.7</v>
      </c>
      <c r="J118" s="105">
        <v>49.7</v>
      </c>
      <c r="K118" s="105"/>
      <c r="L118" s="105"/>
      <c r="M118" s="105">
        <v>36</v>
      </c>
      <c r="N118" s="105">
        <v>-7</v>
      </c>
      <c r="O118" s="105">
        <v>-6.6</v>
      </c>
      <c r="P118" s="105">
        <v>-26.1</v>
      </c>
      <c r="Q118" s="105">
        <v>1.3</v>
      </c>
      <c r="R118" s="105">
        <v>10.3</v>
      </c>
      <c r="S118" s="105">
        <v>10.3</v>
      </c>
      <c r="T118" s="105">
        <v>24.9</v>
      </c>
      <c r="U118" s="105">
        <v>24.9</v>
      </c>
      <c r="V118" s="105">
        <v>24.7</v>
      </c>
      <c r="W118" s="105">
        <v>25.7</v>
      </c>
      <c r="X118" s="105">
        <v>0.4</v>
      </c>
      <c r="Y118" s="105">
        <v>-0.5</v>
      </c>
      <c r="Z118" s="105">
        <v>9.6999999999999993</v>
      </c>
      <c r="AA118" s="105">
        <v>11</v>
      </c>
      <c r="AB118" s="105">
        <v>11.4</v>
      </c>
      <c r="AC118" s="105">
        <v>14</v>
      </c>
      <c r="AD118" s="105">
        <v>17.100000000000001</v>
      </c>
      <c r="AE118" s="105">
        <v>32</v>
      </c>
      <c r="AF118" s="105">
        <v>37.4</v>
      </c>
      <c r="AG118" s="118"/>
      <c r="AH118" s="47">
        <f t="shared" si="8"/>
        <v>58.7</v>
      </c>
      <c r="AI118" s="48">
        <f t="shared" si="9"/>
        <v>-26.1</v>
      </c>
    </row>
    <row r="119" spans="1:37" x14ac:dyDescent="0.25">
      <c r="A119" s="120" t="s">
        <v>127</v>
      </c>
      <c r="B119" s="105">
        <v>86</v>
      </c>
      <c r="C119" s="105">
        <v>86</v>
      </c>
      <c r="D119" s="105">
        <v>91</v>
      </c>
      <c r="E119" s="105">
        <v>91</v>
      </c>
      <c r="F119" s="105">
        <v>93.3</v>
      </c>
      <c r="G119" s="105">
        <v>91</v>
      </c>
      <c r="H119" s="105">
        <v>89.6</v>
      </c>
      <c r="I119" s="105">
        <v>92.5</v>
      </c>
      <c r="J119" s="105">
        <v>91.7</v>
      </c>
      <c r="K119" s="105"/>
      <c r="L119" s="105"/>
      <c r="M119" s="105">
        <v>94</v>
      </c>
      <c r="N119" s="105">
        <v>94</v>
      </c>
      <c r="O119" s="105">
        <v>86</v>
      </c>
      <c r="P119" s="105">
        <v>83</v>
      </c>
      <c r="Q119" s="105">
        <v>86</v>
      </c>
      <c r="R119" s="105">
        <v>81.900000000000006</v>
      </c>
      <c r="S119" s="105">
        <v>81.900000000000006</v>
      </c>
      <c r="T119" s="105">
        <v>93.7</v>
      </c>
      <c r="U119" s="105">
        <v>89.6</v>
      </c>
      <c r="V119" s="105">
        <v>96.8</v>
      </c>
      <c r="W119" s="105">
        <v>85.6</v>
      </c>
      <c r="X119" s="105">
        <v>87.3</v>
      </c>
      <c r="Y119" s="105">
        <v>92.1</v>
      </c>
      <c r="Z119" s="105">
        <v>87.5</v>
      </c>
      <c r="AA119" s="105">
        <v>88.6</v>
      </c>
      <c r="AB119" s="105">
        <v>92.5</v>
      </c>
      <c r="AC119" s="105">
        <v>90.2</v>
      </c>
      <c r="AD119" s="105">
        <v>89.3</v>
      </c>
      <c r="AE119" s="105">
        <v>97.3</v>
      </c>
      <c r="AF119" s="105">
        <v>96</v>
      </c>
      <c r="AG119" s="118"/>
      <c r="AH119" s="47">
        <f t="shared" si="8"/>
        <v>97.3</v>
      </c>
      <c r="AI119" s="48">
        <f t="shared" si="9"/>
        <v>81.900000000000006</v>
      </c>
    </row>
    <row r="120" spans="1:37" ht="15.75" thickBot="1" x14ac:dyDescent="0.3">
      <c r="A120" s="119" t="s">
        <v>128</v>
      </c>
      <c r="B120" s="105">
        <v>25</v>
      </c>
      <c r="C120" s="105">
        <v>25</v>
      </c>
      <c r="D120" s="105">
        <v>22</v>
      </c>
      <c r="E120" s="105">
        <v>22</v>
      </c>
      <c r="F120" s="105">
        <v>11.9</v>
      </c>
      <c r="G120" s="105">
        <v>22</v>
      </c>
      <c r="H120" s="105">
        <v>1.1000000000000001</v>
      </c>
      <c r="I120" s="105">
        <v>-12.4</v>
      </c>
      <c r="J120" s="105">
        <v>-1.3</v>
      </c>
      <c r="K120" s="105"/>
      <c r="L120" s="105"/>
      <c r="M120" s="105">
        <v>20</v>
      </c>
      <c r="N120" s="105">
        <v>47</v>
      </c>
      <c r="O120" s="105">
        <v>43</v>
      </c>
      <c r="P120" s="105">
        <v>52</v>
      </c>
      <c r="Q120" s="105">
        <v>36</v>
      </c>
      <c r="R120" s="105">
        <v>36.200000000000003</v>
      </c>
      <c r="S120" s="105">
        <v>36.200000000000003</v>
      </c>
      <c r="T120" s="105">
        <v>36.200000000000003</v>
      </c>
      <c r="U120" s="105">
        <v>34.299999999999997</v>
      </c>
      <c r="V120" s="105">
        <v>27.5</v>
      </c>
      <c r="W120" s="105">
        <v>29.7</v>
      </c>
      <c r="X120" s="105">
        <v>48.2</v>
      </c>
      <c r="Y120" s="105">
        <v>61.5</v>
      </c>
      <c r="Z120" s="105">
        <v>56.1</v>
      </c>
      <c r="AA120" s="105">
        <v>53</v>
      </c>
      <c r="AB120" s="105">
        <v>57.6</v>
      </c>
      <c r="AC120" s="105">
        <v>54</v>
      </c>
      <c r="AD120" s="105">
        <v>49</v>
      </c>
      <c r="AE120" s="105">
        <v>45.1</v>
      </c>
      <c r="AF120" s="105">
        <v>36</v>
      </c>
      <c r="AG120" s="118"/>
      <c r="AH120" s="47">
        <f t="shared" si="8"/>
        <v>61.5</v>
      </c>
      <c r="AI120" s="48">
        <f t="shared" si="9"/>
        <v>-12.4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2078.7400000000002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31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2080/05/31)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2080/05/31)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2040.8400000000001</v>
      </c>
      <c r="U249" s="170">
        <f t="shared" si="22"/>
        <v>2040.8400000000001</v>
      </c>
      <c r="V249" s="170">
        <f t="shared" si="22"/>
        <v>2040.8400000000001</v>
      </c>
      <c r="W249" s="170">
        <f t="shared" si="22"/>
        <v>2040.8400000000001</v>
      </c>
      <c r="X249" s="170">
        <f t="shared" si="22"/>
        <v>2040.8400000000001</v>
      </c>
      <c r="Y249" s="170">
        <f t="shared" si="22"/>
        <v>2040.8400000000001</v>
      </c>
      <c r="Z249" s="170">
        <f t="shared" si="22"/>
        <v>2040.8400000000001</v>
      </c>
      <c r="AA249" s="170">
        <f t="shared" si="22"/>
        <v>2014.3400000000001</v>
      </c>
      <c r="AB249" s="170">
        <f t="shared" si="22"/>
        <v>2015.64</v>
      </c>
      <c r="AC249" s="170">
        <f t="shared" si="22"/>
        <v>2014.3400000000001</v>
      </c>
      <c r="AD249" s="170">
        <f t="shared" si="22"/>
        <v>2014.3400000000001</v>
      </c>
      <c r="AE249" s="170">
        <f t="shared" si="22"/>
        <v>2053.04</v>
      </c>
      <c r="AF249" s="170">
        <f t="shared" si="22"/>
        <v>2078.7400000000002</v>
      </c>
      <c r="AG249" s="170">
        <f t="shared" si="22"/>
        <v>2079.54</v>
      </c>
      <c r="AH249" s="170">
        <f t="shared" si="22"/>
        <v>2114.1400000000003</v>
      </c>
      <c r="AI249" s="170">
        <f t="shared" si="22"/>
        <v>2138.0400000000004</v>
      </c>
      <c r="AJ249" s="170">
        <f t="shared" si="22"/>
        <v>2110.14</v>
      </c>
      <c r="AK249" s="170">
        <f t="shared" si="22"/>
        <v>2142.84</v>
      </c>
      <c r="AL249" s="170">
        <f t="shared" si="22"/>
        <v>2100.84</v>
      </c>
      <c r="AM249" s="170">
        <f t="shared" si="22"/>
        <v>1955.74</v>
      </c>
      <c r="AN249" s="170">
        <f t="shared" si="22"/>
        <v>1959.6399999999999</v>
      </c>
      <c r="AO249" s="170">
        <f t="shared" si="22"/>
        <v>1947.04</v>
      </c>
      <c r="AP249" s="170">
        <f t="shared" si="22"/>
        <v>2007.5400000000002</v>
      </c>
      <c r="AQ249" s="170">
        <f t="shared" si="22"/>
        <v>2085.94</v>
      </c>
      <c r="AR249" s="170">
        <f t="shared" si="22"/>
        <v>2120.14</v>
      </c>
      <c r="AS249" s="170">
        <f t="shared" si="22"/>
        <v>2059.3399999999997</v>
      </c>
      <c r="AT249" s="170">
        <f t="shared" si="22"/>
        <v>2078.54</v>
      </c>
      <c r="AU249" s="170">
        <f t="shared" si="22"/>
        <v>2065.0300000000002</v>
      </c>
      <c r="AV249" s="170">
        <f t="shared" si="22"/>
        <v>2039.23</v>
      </c>
      <c r="AW249" s="170">
        <f t="shared" si="22"/>
        <v>2039.23</v>
      </c>
      <c r="AX249" s="170">
        <f t="shared" si="22"/>
        <v>2039.23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57" priority="64">
      <formula>$AH11=0</formula>
    </cfRule>
  </conditionalFormatting>
  <conditionalFormatting sqref="B8 M8 S8 AB8">
    <cfRule type="expression" dxfId="356" priority="115">
      <formula>AND(C$9&gt;=14/24,C$9&lt;20/24)</formula>
    </cfRule>
    <cfRule type="expression" dxfId="355" priority="116">
      <formula>AND(C$9&gt;=8/24,C$9&lt;14/24)</formula>
    </cfRule>
    <cfRule type="expression" dxfId="354" priority="117">
      <formula>C$9&lt;8/24</formula>
    </cfRule>
  </conditionalFormatting>
  <conditionalFormatting sqref="B54:L54">
    <cfRule type="expression" dxfId="353" priority="38">
      <formula>B$9&gt;=20/24</formula>
    </cfRule>
    <cfRule type="expression" dxfId="352" priority="39">
      <formula>AND(B$9&gt;=14/24,B$9&lt;20/24)</formula>
    </cfRule>
    <cfRule type="expression" dxfId="351" priority="40">
      <formula>AND(B$9&gt;=8/24,B$9&lt;14/24)</formula>
    </cfRule>
    <cfRule type="expression" dxfId="350" priority="41">
      <formula>B$9&lt;8/24</formula>
    </cfRule>
  </conditionalFormatting>
  <conditionalFormatting sqref="B54:L66 M55:P66 Q55:V58 W55:AA55 Q60:AF66">
    <cfRule type="expression" dxfId="349" priority="33">
      <formula>B54&gt;$AG54</formula>
    </cfRule>
  </conditionalFormatting>
  <conditionalFormatting sqref="B55:P59 Q55:V58 W55:AA55">
    <cfRule type="expression" dxfId="348" priority="60">
      <formula>B$9&gt;=20/24</formula>
    </cfRule>
    <cfRule type="expression" dxfId="347" priority="61">
      <formula>AND(B$9&gt;=14/24,B$9&lt;20/24)</formula>
    </cfRule>
    <cfRule type="expression" dxfId="346" priority="62">
      <formula>AND(B$9&gt;=8/24,B$9&lt;14/24)</formula>
    </cfRule>
    <cfRule type="expression" dxfId="345" priority="63">
      <formula>B$9&lt;8/24</formula>
    </cfRule>
  </conditionalFormatting>
  <conditionalFormatting sqref="B60:AF60">
    <cfRule type="expression" dxfId="344" priority="51">
      <formula>B$9&gt;=20/24</formula>
    </cfRule>
    <cfRule type="expression" dxfId="343" priority="52">
      <formula>AND(B$9&gt;=14/24,B$9&lt;20/24)</formula>
    </cfRule>
    <cfRule type="expression" dxfId="342" priority="53">
      <formula>AND(B$9&gt;=8/24,B$9&lt;14/24)</formula>
    </cfRule>
    <cfRule type="expression" dxfId="341" priority="54">
      <formula>B$9&lt;8/24</formula>
    </cfRule>
  </conditionalFormatting>
  <conditionalFormatting sqref="B61:AF66">
    <cfRule type="expression" dxfId="340" priority="34">
      <formula>B$9&gt;=20/24</formula>
    </cfRule>
    <cfRule type="expression" dxfId="339" priority="35">
      <formula>AND(B$9&gt;=14/24,B$9&lt;20/24)</formula>
    </cfRule>
    <cfRule type="expression" dxfId="338" priority="36">
      <formula>AND(B$9&gt;=8/24,B$9&lt;14/24)</formula>
    </cfRule>
    <cfRule type="expression" dxfId="337" priority="37">
      <formula>B$9&lt;8/24</formula>
    </cfRule>
  </conditionalFormatting>
  <conditionalFormatting sqref="B9:AF45">
    <cfRule type="expression" dxfId="336" priority="23">
      <formula>B$9&gt;=20/24</formula>
    </cfRule>
    <cfRule type="expression" dxfId="335" priority="24">
      <formula>AND(B$9&gt;=14/24,B$9&lt;20/24)</formula>
    </cfRule>
    <cfRule type="expression" dxfId="334" priority="25">
      <formula>AND(B$9&gt;=8/24,B$9&lt;14/24)</formula>
    </cfRule>
    <cfRule type="expression" dxfId="333" priority="26">
      <formula>B$9&lt;8/24</formula>
    </cfRule>
  </conditionalFormatting>
  <conditionalFormatting sqref="B11:AF46">
    <cfRule type="expression" dxfId="332" priority="22">
      <formula>B11&gt;$AG11</formula>
    </cfRule>
  </conditionalFormatting>
  <conditionalFormatting sqref="B46:AF46">
    <cfRule type="expression" dxfId="331" priority="18">
      <formula>B$9&gt;=20/24</formula>
    </cfRule>
    <cfRule type="expression" dxfId="330" priority="19">
      <formula>AND(B$9&gt;=14/24,B$9&lt;20/24)</formula>
    </cfRule>
    <cfRule type="expression" dxfId="329" priority="20">
      <formula>AND(B$9&gt;=8/24,B$9&lt;14/24)</formula>
    </cfRule>
    <cfRule type="expression" dxfId="328" priority="21">
      <formula>B$9&lt;8/24</formula>
    </cfRule>
  </conditionalFormatting>
  <conditionalFormatting sqref="B47:AF47">
    <cfRule type="expression" dxfId="327" priority="32">
      <formula>B47&gt;$AG47</formula>
    </cfRule>
  </conditionalFormatting>
  <conditionalFormatting sqref="B47:AF49">
    <cfRule type="expression" dxfId="326" priority="28">
      <formula>B$9&gt;=20/24</formula>
    </cfRule>
    <cfRule type="expression" dxfId="325" priority="29">
      <formula>AND(B$9&gt;=14/24,B$9&lt;20/24)</formula>
    </cfRule>
    <cfRule type="expression" dxfId="324" priority="30">
      <formula>AND(B$9&gt;=8/24,B$9&lt;14/24)</formula>
    </cfRule>
    <cfRule type="expression" dxfId="323" priority="31">
      <formula>B$9&lt;8/24</formula>
    </cfRule>
  </conditionalFormatting>
  <conditionalFormatting sqref="B48:AF53">
    <cfRule type="expression" dxfId="322" priority="27">
      <formula>B48&gt;$AG48</formula>
    </cfRule>
  </conditionalFormatting>
  <conditionalFormatting sqref="B51:AF53">
    <cfRule type="expression" dxfId="321" priority="47">
      <formula>B$9&gt;=20/24</formula>
    </cfRule>
    <cfRule type="expression" dxfId="320" priority="48">
      <formula>AND(B$9&gt;=14/24,B$9&lt;20/24)</formula>
    </cfRule>
    <cfRule type="expression" dxfId="319" priority="49">
      <formula>AND(B$9&gt;=8/24,B$9&lt;14/24)</formula>
    </cfRule>
    <cfRule type="expression" dxfId="318" priority="50">
      <formula>B$9&lt;8/24</formula>
    </cfRule>
  </conditionalFormatting>
  <conditionalFormatting sqref="B69:AF71">
    <cfRule type="expression" dxfId="317" priority="55">
      <formula>B69&gt;$AG69</formula>
    </cfRule>
    <cfRule type="expression" dxfId="316" priority="56">
      <formula>B$9&gt;=20/24</formula>
    </cfRule>
    <cfRule type="expression" dxfId="315" priority="57">
      <formula>AND(B$9&gt;=14/24,B$9&lt;20/24)</formula>
    </cfRule>
    <cfRule type="expression" dxfId="314" priority="58">
      <formula>AND(B$9&gt;=8/24,B$9&lt;14/24)</formula>
    </cfRule>
    <cfRule type="expression" dxfId="313" priority="59">
      <formula>B$9&lt;8/24</formula>
    </cfRule>
  </conditionalFormatting>
  <conditionalFormatting sqref="B73:AF91">
    <cfRule type="expression" dxfId="312" priority="1">
      <formula>B$9&gt;=20/24</formula>
    </cfRule>
    <cfRule type="expression" dxfId="311" priority="2">
      <formula>AND(B$9&gt;=14/24,B$9&lt;20/24)</formula>
    </cfRule>
    <cfRule type="expression" dxfId="310" priority="3">
      <formula>AND(B$9&gt;=8/24,B$9&lt;14/24)</formula>
    </cfRule>
    <cfRule type="expression" dxfId="309" priority="4">
      <formula>B$9&lt;8/24</formula>
    </cfRule>
  </conditionalFormatting>
  <conditionalFormatting sqref="B111:AF120">
    <cfRule type="expression" dxfId="308" priority="14">
      <formula>B$9&gt;=20/24</formula>
    </cfRule>
    <cfRule type="expression" dxfId="307" priority="15">
      <formula>AND(B$9&gt;=14/24,B$9&lt;20/24)</formula>
    </cfRule>
    <cfRule type="expression" dxfId="306" priority="16">
      <formula>AND(B$9&gt;=8/24,B$9&lt;14/24)</formula>
    </cfRule>
    <cfRule type="expression" dxfId="305" priority="17">
      <formula>B$9&lt;8/24</formula>
    </cfRule>
  </conditionalFormatting>
  <conditionalFormatting sqref="B227:AF227 D229:AF230 B229:B235 D231:H231 J231:AF231 D232:AF235 U248:AF248">
    <cfRule type="expression" dxfId="304" priority="108">
      <formula>B$9&gt;=20/24</formula>
    </cfRule>
    <cfRule type="expression" dxfId="303" priority="109">
      <formula>AND(B$9&gt;=14/24,B$9&lt;20/24)</formula>
    </cfRule>
    <cfRule type="expression" dxfId="302" priority="110">
      <formula>AND(B$9&gt;=8/24,B$9&lt;14/24)</formula>
    </cfRule>
    <cfRule type="expression" dxfId="301" priority="111">
      <formula>B$9&lt;8/24</formula>
    </cfRule>
  </conditionalFormatting>
  <conditionalFormatting sqref="B72:AG72 B67:AG68">
    <cfRule type="expression" dxfId="300" priority="42">
      <formula>B67&gt;$AG67</formula>
    </cfRule>
  </conditionalFormatting>
  <conditionalFormatting sqref="B72:AG72 B93:AF109">
    <cfRule type="expression" dxfId="299" priority="43">
      <formula>B$9&gt;=20/24</formula>
    </cfRule>
    <cfRule type="expression" dxfId="298" priority="44">
      <formula>AND(B$9&gt;=14/24,B$9&lt;20/24)</formula>
    </cfRule>
    <cfRule type="expression" dxfId="297" priority="45">
      <formula>AND(B$9&gt;=8/24,B$9&lt;14/24)</formula>
    </cfRule>
    <cfRule type="expression" dxfId="296" priority="46">
      <formula>B$9&lt;8/24</formula>
    </cfRule>
  </conditionalFormatting>
  <conditionalFormatting sqref="W56:Y58 Q59:Y59 Z56:AA59 AB55:AF59">
    <cfRule type="expression" dxfId="295" priority="5">
      <formula>Q55&gt;$AG55</formula>
    </cfRule>
  </conditionalFormatting>
  <conditionalFormatting sqref="M54:AG54">
    <cfRule type="expression" dxfId="294" priority="76">
      <formula>M54&gt;$AG54</formula>
    </cfRule>
    <cfRule type="expression" dxfId="293" priority="77">
      <formula>M$9&gt;=20/24</formula>
    </cfRule>
    <cfRule type="expression" dxfId="292" priority="78">
      <formula>AND(M$9&gt;=14/24,M$9&lt;20/24)</formula>
    </cfRule>
    <cfRule type="expression" dxfId="291" priority="79">
      <formula>AND(M$9&gt;=8/24,M$9&lt;14/24)</formula>
    </cfRule>
    <cfRule type="expression" dxfId="290" priority="80">
      <formula>M$9&lt;8/24</formula>
    </cfRule>
  </conditionalFormatting>
  <conditionalFormatting sqref="Q59:AA59">
    <cfRule type="expression" dxfId="289" priority="93">
      <formula>Q$9&gt;=20/24</formula>
    </cfRule>
    <cfRule type="expression" dxfId="288" priority="94">
      <formula>AND(Q$9&gt;=14/24,Q$9&lt;20/24)</formula>
    </cfRule>
    <cfRule type="expression" dxfId="287" priority="95">
      <formula>AND(Q$9&gt;=8/24,Q$9&lt;14/24)</formula>
    </cfRule>
    <cfRule type="expression" dxfId="286" priority="96">
      <formula>Q$9&lt;8/24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85" priority="114">
      <formula>C$9&gt;=20/24</formula>
    </cfRule>
  </conditionalFormatting>
  <conditionalFormatting sqref="S8">
    <cfRule type="expression" dxfId="284" priority="101">
      <formula>U$9&gt;=20/24</formula>
    </cfRule>
    <cfRule type="expression" dxfId="283" priority="102">
      <formula>AND(U$9&gt;=14/24,U$9&lt;20/24)</formula>
    </cfRule>
    <cfRule type="expression" dxfId="282" priority="103">
      <formula>AND(U$9&gt;=8/24,U$9&lt;14/24)</formula>
    </cfRule>
    <cfRule type="expression" dxfId="281" priority="104">
      <formula>U$9&lt;8/24</formula>
    </cfRule>
  </conditionalFormatting>
  <conditionalFormatting sqref="W56:AA58 AB55:AF59">
    <cfRule type="expression" dxfId="280" priority="10">
      <formula>W$9&gt;=20/24</formula>
    </cfRule>
    <cfRule type="expression" dxfId="279" priority="11">
      <formula>AND(W$9&gt;=14/24,W$9&lt;20/24)</formula>
    </cfRule>
    <cfRule type="expression" dxfId="278" priority="12">
      <formula>AND(W$9&gt;=8/24,W$9&lt;14/24)</formula>
    </cfRule>
    <cfRule type="expression" dxfId="277" priority="13">
      <formula>W$9&lt;8/24</formula>
    </cfRule>
  </conditionalFormatting>
  <conditionalFormatting sqref="T248">
    <cfRule type="expression" dxfId="276" priority="126">
      <formula>AX$9&gt;=20/24</formula>
    </cfRule>
    <cfRule type="expression" dxfId="275" priority="127">
      <formula>AND(AX$9&gt;=14/24,AX$9&lt;20/24)</formula>
    </cfRule>
    <cfRule type="expression" dxfId="274" priority="128">
      <formula>AND(AX$9&gt;=8/24,AX$9&lt;14/24)</formula>
    </cfRule>
    <cfRule type="expression" dxfId="27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72" priority="97">
      <formula>AD$9&gt;=20/24</formula>
    </cfRule>
    <cfRule type="expression" dxfId="271" priority="98">
      <formula>AND(AD$9&gt;=14/24,AD$9&lt;20/24)</formula>
    </cfRule>
    <cfRule type="expression" dxfId="270" priority="99">
      <formula>AND(AD$9&gt;=8/24,AD$9&lt;14/24)</formula>
    </cfRule>
    <cfRule type="expression" dxfId="269" priority="100">
      <formula>AD$9&lt;8/24</formula>
    </cfRule>
  </conditionalFormatting>
  <conditionalFormatting sqref="AG50">
    <cfRule type="expression" dxfId="268" priority="84">
      <formula>AG50&gt;$AG50</formula>
    </cfRule>
  </conditionalFormatting>
  <conditionalFormatting sqref="AG89">
    <cfRule type="expression" dxfId="267" priority="85">
      <formula>AG$9&gt;=20/24</formula>
    </cfRule>
    <cfRule type="expression" dxfId="266" priority="86">
      <formula>AND(AG$9&gt;=14/24,AG$9&lt;20/24)</formula>
    </cfRule>
    <cfRule type="expression" dxfId="265" priority="87">
      <formula>AND(AG$9&gt;=8/24,AG$9&lt;14/24)</formula>
    </cfRule>
    <cfRule type="expression" dxfId="264" priority="88">
      <formula>AG$9&lt;8/24</formula>
    </cfRule>
  </conditionalFormatting>
  <conditionalFormatting sqref="AG248">
    <cfRule type="expression" dxfId="263" priority="118">
      <formula>B$9&gt;=20/24</formula>
    </cfRule>
    <cfRule type="expression" dxfId="262" priority="119">
      <formula>AND(B$9&gt;=14/24,B$9&lt;20/24)</formula>
    </cfRule>
    <cfRule type="expression" dxfId="261" priority="120">
      <formula>AND(B$9&gt;=8/24,B$9&lt;14/24)</formula>
    </cfRule>
    <cfRule type="expression" dxfId="260" priority="121">
      <formula>B$9&lt;8/24</formula>
    </cfRule>
  </conditionalFormatting>
  <conditionalFormatting sqref="AH248:AX248">
    <cfRule type="expression" dxfId="259" priority="122">
      <formula>AG$9&gt;=20/24</formula>
    </cfRule>
    <cfRule type="expression" dxfId="258" priority="123">
      <formula>AND(AG$9&gt;=14/24,AG$9&lt;20/24)</formula>
    </cfRule>
    <cfRule type="expression" dxfId="257" priority="124">
      <formula>AND(AG$9&gt;=8/24,AG$9&lt;14/24)</formula>
    </cfRule>
    <cfRule type="expression" dxfId="256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55" priority="131">
      <formula>AJ$9&gt;=20/24</formula>
    </cfRule>
    <cfRule type="expression" dxfId="254" priority="132">
      <formula>AND(AJ$9&gt;=14/24,AJ$9&lt;20/24)</formula>
    </cfRule>
    <cfRule type="expression" dxfId="253" priority="133">
      <formula>AND(AJ$9&gt;=8/24,AJ$9&lt;14/24)</formula>
    </cfRule>
    <cfRule type="expression" dxfId="252" priority="134">
      <formula>AJ$9&lt;8/24</formula>
    </cfRule>
  </conditionalFormatting>
  <conditionalFormatting sqref="AL80:AN80 AL86:AN86">
    <cfRule type="expression" dxfId="251" priority="72">
      <formula>AL$9&gt;=20/24</formula>
    </cfRule>
    <cfRule type="expression" dxfId="250" priority="73">
      <formula>AND(AL$9&gt;=14/24,AL$9&lt;20/24)</formula>
    </cfRule>
    <cfRule type="expression" dxfId="249" priority="74">
      <formula>AND(AL$9&gt;=8/24,AL$9&lt;14/24)</formula>
    </cfRule>
    <cfRule type="expression" dxfId="248" priority="75">
      <formula>AL$9&lt;8/24</formula>
    </cfRule>
  </conditionalFormatting>
  <conditionalFormatting sqref="AN81:AN84">
    <cfRule type="expression" dxfId="247" priority="68">
      <formula>AN$9&gt;=20/24</formula>
    </cfRule>
    <cfRule type="expression" dxfId="246" priority="69">
      <formula>AND(AN$9&gt;=14/24,AN$9&lt;20/24)</formula>
    </cfRule>
    <cfRule type="expression" dxfId="245" priority="70">
      <formula>AND(AN$9&gt;=8/24,AN$9&lt;14/24)</formula>
    </cfRule>
    <cfRule type="expression" dxfId="244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777B-DF93-4E64-8CAC-F7C4312F9B53}">
  <sheetPr codeName="Sheet36"/>
  <dimension ref="A1:CJ281"/>
  <sheetViews>
    <sheetView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C67" sqref="AC67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str">
        <f ca="1">"2080/"&amp;"05/"&amp;INT(MID(CELL("filename",D6),FIND("]",CELL("filename",D6))+1,200))</f>
        <v>2080/05/1</v>
      </c>
      <c r="C4" s="196"/>
      <c r="D4" s="196"/>
      <c r="E4" s="197" t="str">
        <f ca="1">"2080/"&amp;"05/"&amp;INT(MID(CELL("filename",G6),FIND("]",CELL("filename",G6))+1,200))</f>
        <v>2080/05/1</v>
      </c>
      <c r="F4" s="197"/>
      <c r="G4" s="197"/>
      <c r="H4" s="197" t="str">
        <f ca="1">TEXT(E4,"dddd")</f>
        <v>Wednesday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1562MW at 4:60hr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2027.9999999999998</v>
      </c>
      <c r="C7" s="35">
        <f t="shared" si="1"/>
        <v>1998</v>
      </c>
      <c r="D7" s="35">
        <f t="shared" si="1"/>
        <v>1992</v>
      </c>
      <c r="E7" s="35">
        <f t="shared" si="1"/>
        <v>1993.9</v>
      </c>
      <c r="F7" s="35">
        <f t="shared" si="1"/>
        <v>1671.6999999999998</v>
      </c>
      <c r="G7" s="35">
        <f t="shared" si="1"/>
        <v>1561.9999999999995</v>
      </c>
      <c r="H7" s="35">
        <f t="shared" si="1"/>
        <v>1554.8999999999996</v>
      </c>
      <c r="I7" s="35">
        <f t="shared" si="1"/>
        <v>1557.3999999999996</v>
      </c>
      <c r="J7" s="35">
        <f t="shared" si="1"/>
        <v>1551.8999999999996</v>
      </c>
      <c r="K7" s="35">
        <f t="shared" si="1"/>
        <v>1504.1</v>
      </c>
      <c r="L7" s="35">
        <f t="shared" si="1"/>
        <v>1516.3</v>
      </c>
      <c r="M7" s="35">
        <f t="shared" si="1"/>
        <v>1527.2</v>
      </c>
      <c r="N7" s="35">
        <f>N91</f>
        <v>1524.1999999999998</v>
      </c>
      <c r="O7" s="35">
        <f t="shared" si="1"/>
        <v>1541.7999999999997</v>
      </c>
      <c r="P7" s="35">
        <f t="shared" si="1"/>
        <v>1549.8000000000002</v>
      </c>
      <c r="Q7" s="35">
        <f t="shared" si="1"/>
        <v>1568</v>
      </c>
      <c r="R7" s="35">
        <f t="shared" si="1"/>
        <v>1536.5</v>
      </c>
      <c r="S7" s="35">
        <f t="shared" si="1"/>
        <v>1550.5</v>
      </c>
      <c r="T7" s="35">
        <f t="shared" si="1"/>
        <v>1545.8000000000002</v>
      </c>
      <c r="U7" s="35">
        <f t="shared" si="1"/>
        <v>1540</v>
      </c>
      <c r="V7" s="35">
        <f t="shared" si="1"/>
        <v>1509.8999999999999</v>
      </c>
      <c r="W7" s="35">
        <f t="shared" si="1"/>
        <v>3.54</v>
      </c>
      <c r="X7" s="35">
        <f t="shared" si="1"/>
        <v>3.54</v>
      </c>
      <c r="Y7" s="35">
        <f t="shared" si="1"/>
        <v>3.54</v>
      </c>
      <c r="Z7" s="35">
        <f t="shared" si="1"/>
        <v>3.54</v>
      </c>
      <c r="AA7" s="35">
        <f t="shared" si="1"/>
        <v>3.54</v>
      </c>
      <c r="AB7" s="35">
        <f t="shared" si="1"/>
        <v>3.54</v>
      </c>
      <c r="AC7" s="35">
        <f t="shared" si="1"/>
        <v>3.54</v>
      </c>
      <c r="AD7" s="35">
        <f t="shared" si="1"/>
        <v>3.54</v>
      </c>
      <c r="AE7" s="35">
        <f t="shared" si="1"/>
        <v>3.54</v>
      </c>
      <c r="AF7" s="35">
        <f t="shared" si="1"/>
        <v>3.54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6">
        <v>86</v>
      </c>
      <c r="AH11" s="47">
        <f t="shared" ref="AH11:AH76" si="2">MAX(B11:AF11)</f>
        <v>90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9</v>
      </c>
      <c r="C12" s="45">
        <v>0</v>
      </c>
      <c r="D12" s="45">
        <v>0</v>
      </c>
      <c r="E12" s="45">
        <v>0</v>
      </c>
      <c r="F12" s="45">
        <v>0</v>
      </c>
      <c r="G12" s="45">
        <v>9</v>
      </c>
      <c r="H12" s="45">
        <v>9</v>
      </c>
      <c r="I12" s="45">
        <v>9</v>
      </c>
      <c r="J12" s="45">
        <v>9</v>
      </c>
      <c r="K12" s="45">
        <v>9</v>
      </c>
      <c r="L12" s="45">
        <v>9</v>
      </c>
      <c r="M12" s="45">
        <v>9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28.4</v>
      </c>
      <c r="C13" s="45">
        <v>28.4</v>
      </c>
      <c r="D13" s="45">
        <v>28.4</v>
      </c>
      <c r="E13" s="45">
        <v>28.4</v>
      </c>
      <c r="F13" s="45">
        <v>28.4</v>
      </c>
      <c r="G13" s="45">
        <v>28.4</v>
      </c>
      <c r="H13" s="45">
        <v>28.4</v>
      </c>
      <c r="I13" s="45">
        <v>28.4</v>
      </c>
      <c r="J13" s="45">
        <v>28.4</v>
      </c>
      <c r="K13" s="45">
        <v>28.4</v>
      </c>
      <c r="L13" s="45">
        <v>28.4</v>
      </c>
      <c r="M13" s="45">
        <v>28.4</v>
      </c>
      <c r="N13" s="45">
        <v>28.4</v>
      </c>
      <c r="O13" s="45">
        <v>28.4</v>
      </c>
      <c r="P13" s="45">
        <v>28.4</v>
      </c>
      <c r="Q13" s="45">
        <v>28.4</v>
      </c>
      <c r="R13" s="45">
        <v>28.4</v>
      </c>
      <c r="S13" s="45">
        <v>28.4</v>
      </c>
      <c r="T13" s="45">
        <v>28.4</v>
      </c>
      <c r="U13" s="45">
        <v>28.4</v>
      </c>
      <c r="V13" s="45">
        <v>28.4</v>
      </c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6">
        <v>52.4</v>
      </c>
      <c r="AH13" s="47">
        <f t="shared" si="2"/>
        <v>28.4</v>
      </c>
      <c r="AI13" s="48">
        <f t="shared" si="3"/>
        <v>28.4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50.8</v>
      </c>
      <c r="C14" s="58">
        <v>50.8</v>
      </c>
      <c r="D14" s="58">
        <v>50.8</v>
      </c>
      <c r="E14" s="58">
        <v>50.8</v>
      </c>
      <c r="F14" s="58">
        <v>50.8</v>
      </c>
      <c r="G14" s="58">
        <v>50.8</v>
      </c>
      <c r="H14" s="58">
        <v>50.8</v>
      </c>
      <c r="I14" s="58">
        <v>50.8</v>
      </c>
      <c r="J14" s="58">
        <v>50.8</v>
      </c>
      <c r="K14" s="58">
        <v>50.8</v>
      </c>
      <c r="L14" s="58">
        <v>50.8</v>
      </c>
      <c r="M14" s="58">
        <v>50.8</v>
      </c>
      <c r="N14" s="58">
        <v>50.8</v>
      </c>
      <c r="O14" s="58">
        <v>50.8</v>
      </c>
      <c r="P14" s="58">
        <v>50.8</v>
      </c>
      <c r="Q14" s="58">
        <v>50.8</v>
      </c>
      <c r="R14" s="58">
        <v>50.8</v>
      </c>
      <c r="S14" s="58">
        <v>50.8</v>
      </c>
      <c r="T14" s="58">
        <v>50.8</v>
      </c>
      <c r="U14" s="58">
        <v>50.8</v>
      </c>
      <c r="V14" s="58">
        <v>50.8</v>
      </c>
      <c r="W14" s="58"/>
      <c r="X14" s="58"/>
      <c r="Y14" s="58"/>
      <c r="Z14" s="45"/>
      <c r="AA14" s="45"/>
      <c r="AB14" s="45"/>
      <c r="AC14" s="45"/>
      <c r="AD14" s="45"/>
      <c r="AE14" s="45"/>
      <c r="AF14" s="45"/>
      <c r="AG14" s="49">
        <v>50</v>
      </c>
      <c r="AH14" s="47">
        <f t="shared" si="2"/>
        <v>50.8</v>
      </c>
      <c r="AI14" s="48">
        <f t="shared" si="3"/>
        <v>50.8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46.7</v>
      </c>
      <c r="G15" s="45">
        <v>46.7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9">
        <v>45</v>
      </c>
      <c r="AH15" s="47">
        <f t="shared" si="2"/>
        <v>46.7</v>
      </c>
      <c r="AI15" s="48">
        <f t="shared" si="3"/>
        <v>46.7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15</v>
      </c>
      <c r="L16" s="45">
        <v>20</v>
      </c>
      <c r="M16" s="45">
        <v>20</v>
      </c>
      <c r="N16" s="45">
        <v>30</v>
      </c>
      <c r="O16" s="45">
        <v>30</v>
      </c>
      <c r="P16" s="45">
        <v>30</v>
      </c>
      <c r="Q16" s="45">
        <v>30</v>
      </c>
      <c r="R16" s="45">
        <v>30</v>
      </c>
      <c r="S16" s="45">
        <v>30</v>
      </c>
      <c r="T16" s="45">
        <v>30</v>
      </c>
      <c r="U16" s="45">
        <v>30</v>
      </c>
      <c r="V16" s="45">
        <v>30</v>
      </c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9">
        <v>44</v>
      </c>
      <c r="AH16" s="47">
        <f>MAX(B16:AG16)</f>
        <v>44</v>
      </c>
      <c r="AI16" s="48">
        <f>MIN(B16:AG16)</f>
        <v>15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10</v>
      </c>
      <c r="L17" s="45">
        <v>17.899999999999999</v>
      </c>
      <c r="M17" s="45">
        <v>17.899999999999999</v>
      </c>
      <c r="N17" s="45">
        <v>26</v>
      </c>
      <c r="O17" s="45">
        <v>26</v>
      </c>
      <c r="P17" s="45">
        <v>26</v>
      </c>
      <c r="Q17" s="45">
        <v>26</v>
      </c>
      <c r="R17" s="45">
        <v>26</v>
      </c>
      <c r="S17" s="45">
        <v>22</v>
      </c>
      <c r="T17" s="45">
        <v>20</v>
      </c>
      <c r="U17" s="45">
        <v>20</v>
      </c>
      <c r="V17" s="45">
        <v>20</v>
      </c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9">
        <v>42</v>
      </c>
      <c r="AH17" s="47">
        <f t="shared" si="2"/>
        <v>29</v>
      </c>
      <c r="AI17" s="48">
        <f t="shared" si="3"/>
        <v>10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35</v>
      </c>
      <c r="C19" s="45">
        <v>35</v>
      </c>
      <c r="D19" s="45">
        <v>35</v>
      </c>
      <c r="E19" s="45">
        <v>35</v>
      </c>
      <c r="F19" s="45">
        <v>35</v>
      </c>
      <c r="G19" s="45">
        <v>35</v>
      </c>
      <c r="H19" s="45">
        <v>35</v>
      </c>
      <c r="I19" s="45">
        <v>35</v>
      </c>
      <c r="J19" s="45">
        <v>35</v>
      </c>
      <c r="K19" s="45">
        <v>35</v>
      </c>
      <c r="L19" s="45">
        <v>35</v>
      </c>
      <c r="M19" s="45">
        <v>35</v>
      </c>
      <c r="N19" s="45">
        <v>35</v>
      </c>
      <c r="O19" s="45">
        <v>35</v>
      </c>
      <c r="P19" s="45">
        <v>35</v>
      </c>
      <c r="Q19" s="45">
        <v>35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9">
        <v>36</v>
      </c>
      <c r="AH19" s="47">
        <f t="shared" si="2"/>
        <v>35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0</v>
      </c>
      <c r="D20" s="45">
        <v>0</v>
      </c>
      <c r="E20" s="45">
        <v>0</v>
      </c>
      <c r="F20" s="45">
        <v>0</v>
      </c>
      <c r="G20" s="45">
        <v>15</v>
      </c>
      <c r="H20" s="45">
        <v>5</v>
      </c>
      <c r="I20" s="45">
        <v>5</v>
      </c>
      <c r="J20" s="45">
        <v>5</v>
      </c>
      <c r="K20" s="45">
        <v>5</v>
      </c>
      <c r="L20" s="45">
        <v>5</v>
      </c>
      <c r="M20" s="45">
        <v>5</v>
      </c>
      <c r="N20" s="45">
        <v>18.600000000000001</v>
      </c>
      <c r="O20" s="45">
        <v>18.600000000000001</v>
      </c>
      <c r="P20" s="45">
        <v>25.4</v>
      </c>
      <c r="Q20" s="45">
        <v>25.4</v>
      </c>
      <c r="R20" s="45">
        <v>21.2</v>
      </c>
      <c r="S20" s="45">
        <v>21.2</v>
      </c>
      <c r="T20" s="45">
        <v>21.2</v>
      </c>
      <c r="U20" s="45">
        <v>21.2</v>
      </c>
      <c r="V20" s="45">
        <v>16</v>
      </c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51">
        <v>30</v>
      </c>
      <c r="AH20" s="47">
        <f t="shared" si="2"/>
        <v>25.4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25.8</v>
      </c>
      <c r="C21" s="45">
        <v>25.8</v>
      </c>
      <c r="D21" s="45">
        <v>25.8</v>
      </c>
      <c r="E21" s="45">
        <v>25.8</v>
      </c>
      <c r="F21" s="45">
        <v>25.8</v>
      </c>
      <c r="G21" s="45">
        <v>25.8</v>
      </c>
      <c r="H21" s="45">
        <v>25.8</v>
      </c>
      <c r="I21" s="45">
        <v>25.8</v>
      </c>
      <c r="J21" s="45">
        <v>25.8</v>
      </c>
      <c r="K21" s="45">
        <v>25.8</v>
      </c>
      <c r="L21" s="45">
        <v>25.8</v>
      </c>
      <c r="M21" s="45">
        <v>25.8</v>
      </c>
      <c r="N21" s="45">
        <v>26.8</v>
      </c>
      <c r="O21" s="45">
        <v>26.8</v>
      </c>
      <c r="P21" s="45">
        <v>26.8</v>
      </c>
      <c r="Q21" s="45">
        <v>26.8</v>
      </c>
      <c r="R21" s="45">
        <v>26.8</v>
      </c>
      <c r="S21" s="45">
        <v>26.8</v>
      </c>
      <c r="T21" s="45">
        <v>26.8</v>
      </c>
      <c r="U21" s="45">
        <v>26.8</v>
      </c>
      <c r="V21" s="45">
        <v>26.8</v>
      </c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9">
        <v>24.2</v>
      </c>
      <c r="AH21" s="47">
        <f t="shared" si="2"/>
        <v>26.8</v>
      </c>
      <c r="AI21" s="48">
        <f t="shared" si="3"/>
        <v>25.8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9">
        <v>28</v>
      </c>
      <c r="AH22" s="47">
        <f t="shared" si="2"/>
        <v>28.5</v>
      </c>
      <c r="AI22" s="48">
        <f t="shared" si="3"/>
        <v>28.5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0</v>
      </c>
      <c r="D23" s="45">
        <v>0</v>
      </c>
      <c r="E23" s="45">
        <v>0</v>
      </c>
      <c r="F23" s="45">
        <v>0</v>
      </c>
      <c r="G23" s="45">
        <v>4.5</v>
      </c>
      <c r="H23" s="45">
        <v>4.5</v>
      </c>
      <c r="I23" s="45">
        <v>4.5</v>
      </c>
      <c r="J23" s="45">
        <v>4.5</v>
      </c>
      <c r="K23" s="45">
        <v>4.5</v>
      </c>
      <c r="L23" s="45">
        <v>9</v>
      </c>
      <c r="M23" s="45">
        <v>9</v>
      </c>
      <c r="N23" s="45">
        <v>9</v>
      </c>
      <c r="O23" s="45">
        <v>9</v>
      </c>
      <c r="P23" s="45">
        <v>9</v>
      </c>
      <c r="Q23" s="45">
        <v>9</v>
      </c>
      <c r="R23" s="45">
        <v>9</v>
      </c>
      <c r="S23" s="45">
        <v>13</v>
      </c>
      <c r="T23" s="45">
        <v>12</v>
      </c>
      <c r="U23" s="45">
        <v>12</v>
      </c>
      <c r="V23" s="45">
        <v>9</v>
      </c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51">
        <v>30</v>
      </c>
      <c r="AH23" s="47">
        <f t="shared" si="2"/>
        <v>13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26.2</v>
      </c>
      <c r="C24" s="45">
        <v>26.2</v>
      </c>
      <c r="D24" s="45">
        <v>26.2</v>
      </c>
      <c r="E24" s="45">
        <v>26.2</v>
      </c>
      <c r="F24" s="45">
        <v>26.2</v>
      </c>
      <c r="G24" s="45">
        <v>26.2</v>
      </c>
      <c r="H24" s="45">
        <v>26.2</v>
      </c>
      <c r="I24" s="45">
        <v>26.2</v>
      </c>
      <c r="J24" s="45">
        <v>26.2</v>
      </c>
      <c r="K24" s="45">
        <v>10</v>
      </c>
      <c r="L24" s="45">
        <v>10</v>
      </c>
      <c r="M24" s="45">
        <v>10</v>
      </c>
      <c r="N24" s="45">
        <v>10</v>
      </c>
      <c r="O24" s="45">
        <v>10</v>
      </c>
      <c r="P24" s="45">
        <v>10</v>
      </c>
      <c r="Q24" s="45">
        <v>10</v>
      </c>
      <c r="R24" s="45">
        <v>10</v>
      </c>
      <c r="S24" s="45">
        <v>20</v>
      </c>
      <c r="T24" s="45">
        <v>18</v>
      </c>
      <c r="U24" s="45">
        <v>18</v>
      </c>
      <c r="V24" s="45">
        <v>18</v>
      </c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9">
        <v>25</v>
      </c>
      <c r="AH24" s="47">
        <f t="shared" si="2"/>
        <v>26.2</v>
      </c>
      <c r="AI24" s="48">
        <f t="shared" si="3"/>
        <v>10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4.5</v>
      </c>
      <c r="C27" s="45">
        <v>0</v>
      </c>
      <c r="D27" s="45">
        <v>0</v>
      </c>
      <c r="E27" s="45">
        <v>0</v>
      </c>
      <c r="F27" s="45">
        <v>0</v>
      </c>
      <c r="G27" s="45">
        <v>4.5</v>
      </c>
      <c r="H27" s="45">
        <v>4.5</v>
      </c>
      <c r="I27" s="45">
        <v>4.5</v>
      </c>
      <c r="J27" s="45">
        <v>4.5</v>
      </c>
      <c r="K27" s="45">
        <v>4.5</v>
      </c>
      <c r="L27" s="45">
        <v>8.5</v>
      </c>
      <c r="M27" s="45">
        <v>8.5</v>
      </c>
      <c r="N27" s="45">
        <v>12</v>
      </c>
      <c r="O27" s="45">
        <v>12</v>
      </c>
      <c r="P27" s="45">
        <v>12</v>
      </c>
      <c r="Q27" s="45">
        <v>12</v>
      </c>
      <c r="R27" s="45">
        <v>12</v>
      </c>
      <c r="S27" s="45">
        <v>16</v>
      </c>
      <c r="T27" s="45">
        <v>12</v>
      </c>
      <c r="U27" s="45">
        <v>12</v>
      </c>
      <c r="V27" s="45">
        <v>8</v>
      </c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9">
        <v>25</v>
      </c>
      <c r="AH27" s="47">
        <f t="shared" si="2"/>
        <v>16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20.3</v>
      </c>
      <c r="C32" s="45">
        <v>20.3</v>
      </c>
      <c r="D32" s="45">
        <v>20.3</v>
      </c>
      <c r="E32" s="45">
        <v>20.3</v>
      </c>
      <c r="F32" s="45">
        <v>20.3</v>
      </c>
      <c r="G32" s="45">
        <v>20.3</v>
      </c>
      <c r="H32" s="45">
        <v>20.3</v>
      </c>
      <c r="I32" s="45">
        <v>20.3</v>
      </c>
      <c r="J32" s="45">
        <v>20.3</v>
      </c>
      <c r="K32" s="45">
        <v>20.3</v>
      </c>
      <c r="L32" s="45">
        <v>20.3</v>
      </c>
      <c r="M32" s="45">
        <v>20.3</v>
      </c>
      <c r="N32" s="45">
        <v>20.3</v>
      </c>
      <c r="O32" s="45">
        <v>20.3</v>
      </c>
      <c r="P32" s="45">
        <v>20.3</v>
      </c>
      <c r="Q32" s="45">
        <v>20.3</v>
      </c>
      <c r="R32" s="45">
        <v>20.3</v>
      </c>
      <c r="S32" s="45">
        <v>20.3</v>
      </c>
      <c r="T32" s="45">
        <v>20.3</v>
      </c>
      <c r="U32" s="45">
        <v>20.3</v>
      </c>
      <c r="V32" s="45">
        <v>20.3</v>
      </c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9">
        <v>22</v>
      </c>
      <c r="AH32" s="47">
        <f t="shared" si="2"/>
        <v>20.3</v>
      </c>
      <c r="AI32" s="48">
        <f t="shared" si="3"/>
        <v>20.3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0</v>
      </c>
      <c r="F33" s="45">
        <v>0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4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15.56</v>
      </c>
      <c r="C35" s="45">
        <v>15.56</v>
      </c>
      <c r="D35" s="45">
        <v>15.56</v>
      </c>
      <c r="E35" s="45">
        <v>15.56</v>
      </c>
      <c r="F35" s="45">
        <v>15.56</v>
      </c>
      <c r="G35" s="45">
        <v>15.56</v>
      </c>
      <c r="H35" s="45">
        <v>15.56</v>
      </c>
      <c r="I35" s="45">
        <v>15.56</v>
      </c>
      <c r="J35" s="45">
        <v>15.56</v>
      </c>
      <c r="K35" s="45">
        <v>15.56</v>
      </c>
      <c r="L35" s="45">
        <v>15.56</v>
      </c>
      <c r="M35" s="45">
        <v>15.56</v>
      </c>
      <c r="N35" s="45">
        <v>15.56</v>
      </c>
      <c r="O35" s="45">
        <v>15.56</v>
      </c>
      <c r="P35" s="45">
        <v>15.56</v>
      </c>
      <c r="Q35" s="45">
        <v>15.56</v>
      </c>
      <c r="R35" s="45">
        <v>15.56</v>
      </c>
      <c r="S35" s="45">
        <v>15.56</v>
      </c>
      <c r="T35" s="45">
        <v>15.56</v>
      </c>
      <c r="U35" s="45">
        <v>15.56</v>
      </c>
      <c r="V35" s="45">
        <v>15.56</v>
      </c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9">
        <v>14.9</v>
      </c>
      <c r="AH35" s="47">
        <f t="shared" si="2"/>
        <v>15.56</v>
      </c>
      <c r="AI35" s="48">
        <f t="shared" si="3"/>
        <v>15.56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9</v>
      </c>
      <c r="O38" s="45">
        <v>9</v>
      </c>
      <c r="P38" s="45">
        <v>9</v>
      </c>
      <c r="Q38" s="45">
        <v>9</v>
      </c>
      <c r="R38" s="45">
        <v>9</v>
      </c>
      <c r="S38" s="45">
        <v>9</v>
      </c>
      <c r="T38" s="45">
        <v>9</v>
      </c>
      <c r="U38" s="45">
        <v>9</v>
      </c>
      <c r="V38" s="45">
        <v>9</v>
      </c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9">
        <v>13</v>
      </c>
      <c r="AH38" s="47">
        <f t="shared" si="2"/>
        <v>12</v>
      </c>
      <c r="AI38" s="48">
        <f t="shared" si="3"/>
        <v>9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0</v>
      </c>
      <c r="E39" s="45">
        <v>0</v>
      </c>
      <c r="F39" s="45">
        <v>0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2</v>
      </c>
      <c r="M39" s="45">
        <v>2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9">
        <v>12</v>
      </c>
      <c r="AH39" s="47">
        <f t="shared" si="2"/>
        <v>6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3</v>
      </c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9">
        <v>12</v>
      </c>
      <c r="AH40" s="47">
        <f t="shared" si="2"/>
        <v>4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380</v>
      </c>
      <c r="N48" s="56">
        <v>380</v>
      </c>
      <c r="O48" s="56">
        <v>380</v>
      </c>
      <c r="P48" s="56">
        <v>380</v>
      </c>
      <c r="Q48" s="56">
        <v>380</v>
      </c>
      <c r="R48" s="56">
        <v>380</v>
      </c>
      <c r="S48" s="56">
        <v>380</v>
      </c>
      <c r="T48" s="56">
        <v>380</v>
      </c>
      <c r="U48" s="56">
        <v>380</v>
      </c>
      <c r="V48" s="56">
        <v>380</v>
      </c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4">
        <v>85</v>
      </c>
      <c r="AH48" s="47">
        <f t="shared" si="2"/>
        <v>380</v>
      </c>
      <c r="AI48" s="48">
        <f t="shared" si="3"/>
        <v>380</v>
      </c>
      <c r="AK48" s="50"/>
    </row>
    <row r="49" spans="1:41" ht="15.75" thickBot="1" x14ac:dyDescent="0.3">
      <c r="A49" s="57" t="s">
        <v>57</v>
      </c>
      <c r="B49" s="56"/>
      <c r="C49" s="56">
        <v>122</v>
      </c>
      <c r="D49" s="56">
        <v>122</v>
      </c>
      <c r="E49" s="56">
        <v>122</v>
      </c>
      <c r="F49" s="56">
        <v>122</v>
      </c>
      <c r="G49" s="56">
        <f>32.6+81.9</f>
        <v>114.5</v>
      </c>
      <c r="H49" s="56">
        <f>32.6+81.9</f>
        <v>114.5</v>
      </c>
      <c r="I49" s="56">
        <f>84.6+33.9</f>
        <v>118.5</v>
      </c>
      <c r="J49" s="56">
        <f>84.6+33.9</f>
        <v>118.5</v>
      </c>
      <c r="K49" s="56">
        <f>84.6+33.9</f>
        <v>118.5</v>
      </c>
      <c r="L49" s="56">
        <f>84.6+33.9</f>
        <v>118.5</v>
      </c>
      <c r="M49" s="56">
        <f>84.6+33.9</f>
        <v>118.5</v>
      </c>
      <c r="N49" s="56">
        <f>34.6+86.3</f>
        <v>120.9</v>
      </c>
      <c r="O49" s="58">
        <f>35.5+89.4</f>
        <v>124.9</v>
      </c>
      <c r="P49" s="58">
        <f>35.5+89.4</f>
        <v>124.9</v>
      </c>
      <c r="Q49" s="58">
        <f t="shared" ref="Q49:V49" si="4">35.5+89.4</f>
        <v>124.9</v>
      </c>
      <c r="R49" s="58">
        <f t="shared" si="4"/>
        <v>124.9</v>
      </c>
      <c r="S49" s="58">
        <f t="shared" si="4"/>
        <v>124.9</v>
      </c>
      <c r="T49" s="58">
        <f t="shared" si="4"/>
        <v>124.9</v>
      </c>
      <c r="U49" s="58">
        <f t="shared" si="4"/>
        <v>124.9</v>
      </c>
      <c r="V49" s="58">
        <f t="shared" si="4"/>
        <v>124.9</v>
      </c>
      <c r="W49" s="58"/>
      <c r="X49" s="56"/>
      <c r="Y49" s="56"/>
      <c r="Z49" s="56"/>
      <c r="AA49" s="56"/>
      <c r="AB49" s="56"/>
      <c r="AC49" s="56"/>
      <c r="AD49" s="56"/>
      <c r="AE49" s="56"/>
      <c r="AF49" s="56"/>
      <c r="AG49" s="54">
        <v>240</v>
      </c>
      <c r="AH49" s="47">
        <f t="shared" si="2"/>
        <v>124.9</v>
      </c>
      <c r="AI49" s="48">
        <f t="shared" si="3"/>
        <v>114.5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1078.7599999999998</v>
      </c>
      <c r="C50" s="60">
        <f t="shared" si="5"/>
        <v>1055.76</v>
      </c>
      <c r="D50" s="60">
        <f t="shared" si="5"/>
        <v>1049.76</v>
      </c>
      <c r="E50" s="60">
        <f t="shared" si="5"/>
        <v>1043.76</v>
      </c>
      <c r="F50" s="60">
        <f t="shared" si="5"/>
        <v>1043.76</v>
      </c>
      <c r="G50" s="60">
        <f t="shared" si="5"/>
        <v>1082.7599999999998</v>
      </c>
      <c r="H50" s="60">
        <f t="shared" si="5"/>
        <v>1072.7599999999998</v>
      </c>
      <c r="I50" s="60">
        <f t="shared" si="5"/>
        <v>1072.7599999999998</v>
      </c>
      <c r="J50" s="60">
        <f t="shared" si="5"/>
        <v>1072.7599999999998</v>
      </c>
      <c r="K50" s="60">
        <f t="shared" si="5"/>
        <v>1009.56</v>
      </c>
      <c r="L50" s="60">
        <f t="shared" si="5"/>
        <v>1030.96</v>
      </c>
      <c r="M50" s="60">
        <f t="shared" si="5"/>
        <v>1034.96</v>
      </c>
      <c r="N50" s="60">
        <f t="shared" si="5"/>
        <v>1076.1599999999999</v>
      </c>
      <c r="O50" s="60">
        <f t="shared" si="5"/>
        <v>1076.1599999999999</v>
      </c>
      <c r="P50" s="60">
        <f t="shared" si="5"/>
        <v>1082.96</v>
      </c>
      <c r="Q50" s="60">
        <f t="shared" si="5"/>
        <v>1082.96</v>
      </c>
      <c r="R50" s="60">
        <f t="shared" si="5"/>
        <v>1043.76</v>
      </c>
      <c r="S50" s="60">
        <f t="shared" si="5"/>
        <v>1057.76</v>
      </c>
      <c r="T50" s="60">
        <f t="shared" si="5"/>
        <v>1048.76</v>
      </c>
      <c r="U50" s="60">
        <f t="shared" si="5"/>
        <v>1048.76</v>
      </c>
      <c r="V50" s="60">
        <f t="shared" ref="V50" si="6">SUM(V11:V48)</f>
        <v>1035.56</v>
      </c>
      <c r="W50" s="60">
        <f t="shared" si="5"/>
        <v>0</v>
      </c>
      <c r="X50" s="60">
        <f t="shared" si="5"/>
        <v>0</v>
      </c>
      <c r="Y50" s="60">
        <f t="shared" si="5"/>
        <v>0</v>
      </c>
      <c r="Z50" s="60">
        <f t="shared" si="5"/>
        <v>0</v>
      </c>
      <c r="AA50" s="60">
        <f t="shared" si="5"/>
        <v>0</v>
      </c>
      <c r="AB50" s="60">
        <f t="shared" si="5"/>
        <v>0</v>
      </c>
      <c r="AC50" s="60">
        <f t="shared" si="5"/>
        <v>0</v>
      </c>
      <c r="AD50" s="60">
        <f t="shared" si="5"/>
        <v>0</v>
      </c>
      <c r="AE50" s="60">
        <f t="shared" si="5"/>
        <v>0</v>
      </c>
      <c r="AF50" s="60">
        <f t="shared" si="5"/>
        <v>0</v>
      </c>
      <c r="AG50" s="61">
        <f>SUM(AG13:AG48)</f>
        <v>922.14</v>
      </c>
      <c r="AH50" s="47">
        <f t="shared" si="2"/>
        <v>1082.96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150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175">
        <v>0</v>
      </c>
      <c r="O51" s="175">
        <v>0</v>
      </c>
      <c r="P51" s="175">
        <v>0</v>
      </c>
      <c r="Q51" s="175">
        <v>0</v>
      </c>
      <c r="R51" s="175">
        <v>0</v>
      </c>
      <c r="S51" s="175">
        <v>0</v>
      </c>
      <c r="T51" s="175">
        <v>0</v>
      </c>
      <c r="U51" s="175">
        <v>0</v>
      </c>
      <c r="V51" s="175">
        <v>0</v>
      </c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51">
        <v>456</v>
      </c>
      <c r="AH51" s="47">
        <f t="shared" si="2"/>
        <v>456</v>
      </c>
      <c r="AI51" s="48">
        <f t="shared" si="3"/>
        <v>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52</v>
      </c>
      <c r="G52" s="64">
        <v>52</v>
      </c>
      <c r="H52" s="64">
        <v>52</v>
      </c>
      <c r="I52" s="64">
        <v>52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54">
        <v>60</v>
      </c>
      <c r="AH52" s="47">
        <f t="shared" si="2"/>
        <v>60</v>
      </c>
      <c r="AI52" s="48">
        <f t="shared" si="3"/>
        <v>52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22.1</v>
      </c>
      <c r="G53" s="66">
        <v>22.1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7">
        <v>22.1</v>
      </c>
      <c r="AH53" s="47">
        <f t="shared" si="2"/>
        <v>22.1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538</v>
      </c>
      <c r="C54" s="60">
        <f t="shared" si="7"/>
        <v>538</v>
      </c>
      <c r="D54" s="60">
        <f t="shared" si="7"/>
        <v>538</v>
      </c>
      <c r="E54" s="60">
        <f t="shared" si="7"/>
        <v>538</v>
      </c>
      <c r="F54" s="60">
        <f t="shared" si="7"/>
        <v>224.1</v>
      </c>
      <c r="G54" s="60">
        <f t="shared" si="7"/>
        <v>74.099999999999994</v>
      </c>
      <c r="H54" s="60">
        <f t="shared" si="7"/>
        <v>74</v>
      </c>
      <c r="I54" s="60">
        <f t="shared" si="7"/>
        <v>74</v>
      </c>
      <c r="J54" s="60">
        <f t="shared" si="7"/>
        <v>82</v>
      </c>
      <c r="K54" s="60">
        <f t="shared" si="7"/>
        <v>82</v>
      </c>
      <c r="L54" s="60">
        <f t="shared" si="7"/>
        <v>82</v>
      </c>
      <c r="M54" s="60">
        <f t="shared" si="7"/>
        <v>82</v>
      </c>
      <c r="N54" s="60">
        <f t="shared" si="7"/>
        <v>82</v>
      </c>
      <c r="O54" s="60">
        <f t="shared" si="7"/>
        <v>82</v>
      </c>
      <c r="P54" s="60">
        <f t="shared" si="7"/>
        <v>82</v>
      </c>
      <c r="Q54" s="60">
        <f t="shared" si="7"/>
        <v>82</v>
      </c>
      <c r="R54" s="60">
        <f t="shared" si="7"/>
        <v>82</v>
      </c>
      <c r="S54" s="60">
        <f t="shared" si="7"/>
        <v>82</v>
      </c>
      <c r="T54" s="60">
        <f t="shared" si="7"/>
        <v>82</v>
      </c>
      <c r="U54" s="60">
        <f t="shared" si="7"/>
        <v>82</v>
      </c>
      <c r="V54" s="60">
        <f t="shared" ref="V54" si="8">SUM(V51:V53)</f>
        <v>82</v>
      </c>
      <c r="W54" s="60">
        <f t="shared" si="7"/>
        <v>0</v>
      </c>
      <c r="X54" s="60">
        <f t="shared" si="7"/>
        <v>0</v>
      </c>
      <c r="Y54" s="60">
        <f t="shared" si="7"/>
        <v>0</v>
      </c>
      <c r="Z54" s="60">
        <f t="shared" si="7"/>
        <v>0</v>
      </c>
      <c r="AA54" s="60">
        <f t="shared" si="7"/>
        <v>0</v>
      </c>
      <c r="AB54" s="60">
        <f t="shared" si="7"/>
        <v>0</v>
      </c>
      <c r="AC54" s="60">
        <f t="shared" si="7"/>
        <v>0</v>
      </c>
      <c r="AD54" s="60">
        <f t="shared" si="7"/>
        <v>0</v>
      </c>
      <c r="AE54" s="60">
        <f t="shared" si="7"/>
        <v>0</v>
      </c>
      <c r="AF54" s="60">
        <f t="shared" si="7"/>
        <v>0</v>
      </c>
      <c r="AG54" s="61">
        <f t="shared" si="7"/>
        <v>538.1</v>
      </c>
      <c r="AH54" s="47">
        <f t="shared" si="2"/>
        <v>538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146.9</v>
      </c>
      <c r="C55" s="45">
        <v>146.9</v>
      </c>
      <c r="D55" s="45">
        <v>146.9</v>
      </c>
      <c r="E55" s="45">
        <v>146.9</v>
      </c>
      <c r="F55" s="45">
        <v>145.69999999999999</v>
      </c>
      <c r="G55" s="45">
        <v>145.19999999999999</v>
      </c>
      <c r="H55" s="45">
        <v>144.9</v>
      </c>
      <c r="I55" s="45">
        <v>144.69999999999999</v>
      </c>
      <c r="J55" s="45">
        <v>144.69999999999999</v>
      </c>
      <c r="K55" s="45">
        <v>144.6</v>
      </c>
      <c r="L55" s="45">
        <v>135.5</v>
      </c>
      <c r="M55" s="45">
        <v>135.5</v>
      </c>
      <c r="N55" s="45">
        <v>80.2</v>
      </c>
      <c r="O55" s="45">
        <v>72.599999999999994</v>
      </c>
      <c r="P55" s="45">
        <v>72.599999999999994</v>
      </c>
      <c r="Q55" s="45">
        <v>90.8</v>
      </c>
      <c r="R55" s="45">
        <v>90.8</v>
      </c>
      <c r="S55" s="45">
        <v>90.8</v>
      </c>
      <c r="T55" s="45">
        <v>90.8</v>
      </c>
      <c r="U55" s="45">
        <v>85</v>
      </c>
      <c r="V55" s="45">
        <v>75.7</v>
      </c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51">
        <v>144</v>
      </c>
      <c r="AH55" s="47">
        <f t="shared" si="2"/>
        <v>146.9</v>
      </c>
      <c r="AI55" s="48">
        <f t="shared" si="3"/>
        <v>72.599999999999994</v>
      </c>
      <c r="AK55" s="50"/>
    </row>
    <row r="56" spans="1:41" x14ac:dyDescent="0.25">
      <c r="A56" s="53" t="s">
        <v>64</v>
      </c>
      <c r="B56" s="64">
        <v>70.400000000000006</v>
      </c>
      <c r="C56" s="64">
        <v>70.400000000000006</v>
      </c>
      <c r="D56" s="64">
        <v>70.400000000000006</v>
      </c>
      <c r="E56" s="64">
        <v>70.400000000000006</v>
      </c>
      <c r="F56" s="64">
        <v>70.099999999999994</v>
      </c>
      <c r="G56" s="64">
        <v>70</v>
      </c>
      <c r="H56" s="64">
        <v>70.5</v>
      </c>
      <c r="I56" s="64">
        <v>70</v>
      </c>
      <c r="J56" s="64">
        <v>69.7</v>
      </c>
      <c r="K56" s="64">
        <v>69.2</v>
      </c>
      <c r="L56" s="64">
        <v>69.400000000000006</v>
      </c>
      <c r="M56" s="64">
        <v>69.400000000000006</v>
      </c>
      <c r="N56" s="64">
        <v>69.2</v>
      </c>
      <c r="O56" s="64">
        <v>64.3</v>
      </c>
      <c r="P56" s="64">
        <v>64.3</v>
      </c>
      <c r="Q56" s="64">
        <v>64.3</v>
      </c>
      <c r="R56" s="64">
        <v>65.3</v>
      </c>
      <c r="S56" s="64">
        <v>65.3</v>
      </c>
      <c r="T56" s="45">
        <v>69.5</v>
      </c>
      <c r="U56" s="45">
        <v>69.5</v>
      </c>
      <c r="V56" s="45">
        <v>59</v>
      </c>
      <c r="W56" s="45"/>
      <c r="X56" s="45"/>
      <c r="Y56" s="45"/>
      <c r="Z56" s="45"/>
      <c r="AA56" s="45"/>
      <c r="AB56" s="45"/>
      <c r="AC56" s="45"/>
      <c r="AD56" s="64"/>
      <c r="AE56" s="45"/>
      <c r="AF56" s="45"/>
      <c r="AG56" s="54">
        <v>70</v>
      </c>
      <c r="AH56" s="47">
        <f t="shared" si="2"/>
        <v>70.5</v>
      </c>
      <c r="AI56" s="48">
        <f t="shared" si="3"/>
        <v>59</v>
      </c>
      <c r="AK56" s="50"/>
    </row>
    <row r="57" spans="1:41" x14ac:dyDescent="0.25">
      <c r="A57" s="53" t="s">
        <v>65</v>
      </c>
      <c r="B57" s="64">
        <v>64.3</v>
      </c>
      <c r="C57" s="64">
        <v>64.3</v>
      </c>
      <c r="D57" s="64">
        <v>64.3</v>
      </c>
      <c r="E57" s="64">
        <v>64.3</v>
      </c>
      <c r="F57" s="64">
        <v>57.5</v>
      </c>
      <c r="G57" s="64">
        <v>62.6</v>
      </c>
      <c r="H57" s="64">
        <v>65.099999999999994</v>
      </c>
      <c r="I57" s="64">
        <v>65.400000000000006</v>
      </c>
      <c r="J57" s="64">
        <v>65.2</v>
      </c>
      <c r="K57" s="64">
        <v>65.5</v>
      </c>
      <c r="L57" s="64">
        <v>64.400000000000006</v>
      </c>
      <c r="M57" s="64">
        <v>64.400000000000006</v>
      </c>
      <c r="N57" s="64">
        <v>66</v>
      </c>
      <c r="O57" s="64">
        <v>61.4</v>
      </c>
      <c r="P57" s="64">
        <v>61.4</v>
      </c>
      <c r="Q57" s="64">
        <v>61.4</v>
      </c>
      <c r="R57" s="64">
        <v>65.900000000000006</v>
      </c>
      <c r="S57" s="64">
        <v>65.900000000000006</v>
      </c>
      <c r="T57" s="45">
        <v>66</v>
      </c>
      <c r="U57" s="45">
        <v>66</v>
      </c>
      <c r="V57" s="45">
        <v>65.7</v>
      </c>
      <c r="W57" s="45"/>
      <c r="X57" s="45"/>
      <c r="Y57" s="45"/>
      <c r="Z57" s="45"/>
      <c r="AA57" s="45"/>
      <c r="AB57" s="45"/>
      <c r="AC57" s="45"/>
      <c r="AD57" s="64"/>
      <c r="AE57" s="45"/>
      <c r="AF57" s="45"/>
      <c r="AG57" s="54">
        <v>69</v>
      </c>
      <c r="AH57" s="47">
        <f t="shared" si="2"/>
        <v>66</v>
      </c>
      <c r="AI57" s="48">
        <f t="shared" si="3"/>
        <v>57.5</v>
      </c>
      <c r="AK57" s="50"/>
    </row>
    <row r="58" spans="1:41" x14ac:dyDescent="0.25">
      <c r="A58" s="53" t="s">
        <v>66</v>
      </c>
      <c r="B58" s="64">
        <v>60</v>
      </c>
      <c r="C58" s="64">
        <v>53</v>
      </c>
      <c r="D58" s="64">
        <v>53</v>
      </c>
      <c r="E58" s="64">
        <v>60.9</v>
      </c>
      <c r="F58" s="56">
        <v>60.9</v>
      </c>
      <c r="G58" s="56">
        <v>57.7</v>
      </c>
      <c r="H58" s="56">
        <v>58</v>
      </c>
      <c r="I58" s="56">
        <v>60.9</v>
      </c>
      <c r="J58" s="56">
        <v>50.9</v>
      </c>
      <c r="K58" s="56">
        <v>61.4</v>
      </c>
      <c r="L58" s="56">
        <v>61.4</v>
      </c>
      <c r="M58" s="56">
        <v>61.4</v>
      </c>
      <c r="N58" s="64">
        <v>61.4</v>
      </c>
      <c r="O58" s="64">
        <v>61.4</v>
      </c>
      <c r="P58" s="64">
        <v>61.4</v>
      </c>
      <c r="Q58" s="64">
        <v>61.4</v>
      </c>
      <c r="R58" s="64">
        <v>60.9</v>
      </c>
      <c r="S58" s="64">
        <v>60.9</v>
      </c>
      <c r="T58" s="64">
        <v>60.9</v>
      </c>
      <c r="U58" s="64">
        <v>60.9</v>
      </c>
      <c r="V58" s="64">
        <v>60.9</v>
      </c>
      <c r="W58" s="45"/>
      <c r="X58" s="45"/>
      <c r="Y58" s="45"/>
      <c r="Z58" s="45"/>
      <c r="AA58" s="45"/>
      <c r="AB58" s="45"/>
      <c r="AC58" s="45"/>
      <c r="AD58" s="64"/>
      <c r="AE58" s="45"/>
      <c r="AF58" s="45"/>
      <c r="AG58" s="54">
        <v>60</v>
      </c>
      <c r="AH58" s="47">
        <f t="shared" si="2"/>
        <v>61.4</v>
      </c>
      <c r="AI58" s="48">
        <f t="shared" si="3"/>
        <v>50.9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15</v>
      </c>
      <c r="F59" s="56">
        <v>15</v>
      </c>
      <c r="G59" s="56">
        <v>15</v>
      </c>
      <c r="H59" s="56">
        <v>15</v>
      </c>
      <c r="I59" s="56">
        <v>15</v>
      </c>
      <c r="J59" s="56">
        <v>12</v>
      </c>
      <c r="K59" s="56">
        <v>15</v>
      </c>
      <c r="L59" s="56">
        <v>15</v>
      </c>
      <c r="M59" s="56">
        <v>15</v>
      </c>
      <c r="N59" s="64">
        <v>15</v>
      </c>
      <c r="O59" s="64">
        <v>15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45"/>
      <c r="X59" s="45"/>
      <c r="Y59" s="45"/>
      <c r="Z59" s="45"/>
      <c r="AA59" s="45"/>
      <c r="AB59" s="45"/>
      <c r="AC59" s="45"/>
      <c r="AD59" s="64"/>
      <c r="AE59" s="45"/>
      <c r="AF59" s="45"/>
      <c r="AG59" s="54">
        <v>30</v>
      </c>
      <c r="AH59" s="47">
        <f t="shared" si="2"/>
        <v>15</v>
      </c>
      <c r="AI59" s="48">
        <f t="shared" si="3"/>
        <v>12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2.2000000000000002</v>
      </c>
      <c r="L60" s="64">
        <v>3</v>
      </c>
      <c r="M60" s="64">
        <v>3</v>
      </c>
      <c r="N60" s="64">
        <v>13.9</v>
      </c>
      <c r="O60" s="64">
        <v>16.600000000000001</v>
      </c>
      <c r="P60" s="64">
        <v>16.600000000000001</v>
      </c>
      <c r="Q60" s="64">
        <v>16.600000000000001</v>
      </c>
      <c r="R60" s="64">
        <v>17.3</v>
      </c>
      <c r="S60" s="64">
        <v>17.3</v>
      </c>
      <c r="T60" s="64">
        <v>17.3</v>
      </c>
      <c r="U60" s="64">
        <v>17.3</v>
      </c>
      <c r="V60" s="64">
        <v>17.3</v>
      </c>
      <c r="W60" s="45"/>
      <c r="X60" s="45"/>
      <c r="Y60" s="45"/>
      <c r="Z60" s="45"/>
      <c r="AA60" s="45"/>
      <c r="AB60" s="45"/>
      <c r="AC60" s="45"/>
      <c r="AD60" s="64"/>
      <c r="AE60" s="45"/>
      <c r="AF60" s="45"/>
      <c r="AG60" s="54">
        <v>25</v>
      </c>
      <c r="AH60" s="47">
        <f t="shared" si="2"/>
        <v>17.3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14</v>
      </c>
      <c r="Q61" s="64">
        <v>14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54">
        <v>24</v>
      </c>
      <c r="AH61" s="47">
        <f t="shared" si="2"/>
        <v>16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11.4</v>
      </c>
      <c r="C63" s="64">
        <v>11.4</v>
      </c>
      <c r="D63" s="64">
        <v>11.4</v>
      </c>
      <c r="E63" s="64">
        <v>11.4</v>
      </c>
      <c r="F63" s="64">
        <v>11.4</v>
      </c>
      <c r="G63" s="64">
        <v>11.4</v>
      </c>
      <c r="H63" s="64">
        <v>11.4</v>
      </c>
      <c r="I63" s="64">
        <v>11.4</v>
      </c>
      <c r="J63" s="64">
        <v>11.4</v>
      </c>
      <c r="K63" s="64">
        <v>11.4</v>
      </c>
      <c r="L63" s="64">
        <v>11.4</v>
      </c>
      <c r="M63" s="64">
        <v>11.4</v>
      </c>
      <c r="N63" s="64">
        <v>11.4</v>
      </c>
      <c r="O63" s="64">
        <v>11.4</v>
      </c>
      <c r="P63" s="64">
        <v>11.4</v>
      </c>
      <c r="Q63" s="64">
        <v>11.4</v>
      </c>
      <c r="R63" s="64">
        <v>11.4</v>
      </c>
      <c r="S63" s="64">
        <v>11.4</v>
      </c>
      <c r="T63" s="64">
        <v>11.4</v>
      </c>
      <c r="U63" s="64">
        <v>11.4</v>
      </c>
      <c r="V63" s="64">
        <v>11.4</v>
      </c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54">
        <v>14.1</v>
      </c>
      <c r="AH63" s="47">
        <f t="shared" si="2"/>
        <v>11.4</v>
      </c>
      <c r="AI63" s="48">
        <f t="shared" si="3"/>
        <v>11.4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3.1</v>
      </c>
      <c r="C64" s="64">
        <v>3.1</v>
      </c>
      <c r="D64" s="64">
        <v>3.1</v>
      </c>
      <c r="E64" s="64">
        <v>3.1</v>
      </c>
      <c r="F64" s="64">
        <v>3.1</v>
      </c>
      <c r="G64" s="64">
        <v>3.1</v>
      </c>
      <c r="H64" s="64">
        <v>3.1</v>
      </c>
      <c r="I64" s="64">
        <v>3.1</v>
      </c>
      <c r="J64" s="64">
        <v>3.1</v>
      </c>
      <c r="K64" s="64">
        <v>3.1</v>
      </c>
      <c r="L64" s="64">
        <v>3.1</v>
      </c>
      <c r="M64" s="64">
        <v>10</v>
      </c>
      <c r="N64" s="64">
        <v>8.8000000000000007</v>
      </c>
      <c r="O64" s="64">
        <v>8.8000000000000007</v>
      </c>
      <c r="P64" s="64">
        <v>8.8000000000000007</v>
      </c>
      <c r="Q64" s="64">
        <v>8.8000000000000007</v>
      </c>
      <c r="R64" s="64">
        <v>8.8000000000000007</v>
      </c>
      <c r="S64" s="64">
        <v>8.8000000000000007</v>
      </c>
      <c r="T64" s="64">
        <v>8.8000000000000007</v>
      </c>
      <c r="U64" s="64">
        <v>8.8000000000000007</v>
      </c>
      <c r="V64" s="64">
        <v>8.8000000000000007</v>
      </c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54">
        <v>14</v>
      </c>
      <c r="AH64" s="47">
        <f t="shared" si="2"/>
        <v>10</v>
      </c>
      <c r="AI64" s="48">
        <f t="shared" si="3"/>
        <v>3.1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411.24</v>
      </c>
      <c r="C68" s="60">
        <f t="shared" si="9"/>
        <v>404.24</v>
      </c>
      <c r="D68" s="60">
        <f t="shared" si="9"/>
        <v>404.24</v>
      </c>
      <c r="E68" s="60">
        <f t="shared" si="9"/>
        <v>412.14</v>
      </c>
      <c r="F68" s="60">
        <f t="shared" si="9"/>
        <v>403.83999999999992</v>
      </c>
      <c r="G68" s="60">
        <f t="shared" si="9"/>
        <v>405.14</v>
      </c>
      <c r="H68" s="60">
        <f t="shared" si="9"/>
        <v>408.14</v>
      </c>
      <c r="I68" s="60">
        <f t="shared" si="9"/>
        <v>410.64</v>
      </c>
      <c r="J68" s="60">
        <f t="shared" si="9"/>
        <v>397.13999999999993</v>
      </c>
      <c r="K68" s="60">
        <f t="shared" si="9"/>
        <v>412.53999999999996</v>
      </c>
      <c r="L68" s="60">
        <f t="shared" si="9"/>
        <v>403.34</v>
      </c>
      <c r="M68" s="60">
        <f t="shared" si="9"/>
        <v>410.23999999999995</v>
      </c>
      <c r="N68" s="60">
        <f t="shared" si="9"/>
        <v>366.03999999999996</v>
      </c>
      <c r="O68" s="60">
        <f t="shared" si="9"/>
        <v>351.64</v>
      </c>
      <c r="P68" s="60">
        <f t="shared" si="9"/>
        <v>344.44</v>
      </c>
      <c r="Q68" s="60">
        <f t="shared" si="9"/>
        <v>362.64</v>
      </c>
      <c r="R68" s="60">
        <f t="shared" si="9"/>
        <v>370.34</v>
      </c>
      <c r="S68" s="60">
        <f t="shared" si="9"/>
        <v>370.34</v>
      </c>
      <c r="T68" s="60">
        <f t="shared" si="9"/>
        <v>374.64</v>
      </c>
      <c r="U68" s="60">
        <f t="shared" si="9"/>
        <v>368.84</v>
      </c>
      <c r="V68" s="60">
        <f t="shared" ref="V68" si="10">SUM(V55:V67)</f>
        <v>348.73999999999995</v>
      </c>
      <c r="W68" s="60">
        <f t="shared" si="9"/>
        <v>3.54</v>
      </c>
      <c r="X68" s="60">
        <f t="shared" si="9"/>
        <v>3.54</v>
      </c>
      <c r="Y68" s="60">
        <f t="shared" si="9"/>
        <v>3.54</v>
      </c>
      <c r="Z68" s="60">
        <f t="shared" si="9"/>
        <v>3.54</v>
      </c>
      <c r="AA68" s="60">
        <f t="shared" si="9"/>
        <v>3.54</v>
      </c>
      <c r="AB68" s="60">
        <f t="shared" si="9"/>
        <v>3.54</v>
      </c>
      <c r="AC68" s="60">
        <f t="shared" si="9"/>
        <v>3.54</v>
      </c>
      <c r="AD68" s="60">
        <f t="shared" si="9"/>
        <v>3.54</v>
      </c>
      <c r="AE68" s="60">
        <f t="shared" si="9"/>
        <v>3.54</v>
      </c>
      <c r="AF68" s="60">
        <f t="shared" si="9"/>
        <v>3.54</v>
      </c>
      <c r="AG68" s="61">
        <f t="shared" si="9"/>
        <v>489.91</v>
      </c>
      <c r="AH68" s="47">
        <f t="shared" si="2"/>
        <v>412.53999999999996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19.7</v>
      </c>
      <c r="P69" s="45">
        <v>25</v>
      </c>
      <c r="Q69" s="45">
        <v>25</v>
      </c>
      <c r="R69" s="45">
        <v>25</v>
      </c>
      <c r="S69" s="45">
        <v>25</v>
      </c>
      <c r="T69" s="45">
        <v>25</v>
      </c>
      <c r="U69" s="45">
        <v>25</v>
      </c>
      <c r="V69" s="45">
        <v>25.4</v>
      </c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25.4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9</v>
      </c>
      <c r="P70" s="64">
        <v>11.3</v>
      </c>
      <c r="Q70" s="64">
        <v>11.3</v>
      </c>
      <c r="R70" s="64">
        <v>11.3</v>
      </c>
      <c r="S70" s="64">
        <v>11.3</v>
      </c>
      <c r="T70" s="64">
        <v>11.3</v>
      </c>
      <c r="U70" s="64">
        <v>11.3</v>
      </c>
      <c r="V70" s="64">
        <v>13.3</v>
      </c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13.3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3.3</v>
      </c>
      <c r="P71" s="66">
        <v>4.0999999999999996</v>
      </c>
      <c r="Q71" s="66">
        <v>4.0999999999999996</v>
      </c>
      <c r="R71" s="66">
        <v>4.0999999999999996</v>
      </c>
      <c r="S71" s="66">
        <v>4.0999999999999996</v>
      </c>
      <c r="T71" s="66">
        <v>4.0999999999999996</v>
      </c>
      <c r="U71" s="66">
        <v>4.0999999999999996</v>
      </c>
      <c r="V71" s="66">
        <v>4.9000000000000004</v>
      </c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4.9000000000000004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32</v>
      </c>
      <c r="P72" s="60">
        <f t="shared" si="11"/>
        <v>40.4</v>
      </c>
      <c r="Q72" s="60">
        <f t="shared" si="11"/>
        <v>40.4</v>
      </c>
      <c r="R72" s="60">
        <f t="shared" si="11"/>
        <v>40.4</v>
      </c>
      <c r="S72" s="60">
        <f t="shared" si="11"/>
        <v>40.4</v>
      </c>
      <c r="T72" s="60">
        <f t="shared" si="11"/>
        <v>40.4</v>
      </c>
      <c r="U72" s="60">
        <f t="shared" si="11"/>
        <v>40.4</v>
      </c>
      <c r="V72" s="60">
        <f t="shared" ref="V72" si="12">V69+V70+V71</f>
        <v>43.6</v>
      </c>
      <c r="W72" s="60">
        <f t="shared" si="11"/>
        <v>0</v>
      </c>
      <c r="X72" s="60">
        <f t="shared" si="11"/>
        <v>0</v>
      </c>
      <c r="Y72" s="60">
        <f t="shared" si="11"/>
        <v>0</v>
      </c>
      <c r="Z72" s="60">
        <f t="shared" si="11"/>
        <v>0</v>
      </c>
      <c r="AA72" s="60">
        <f t="shared" si="11"/>
        <v>0</v>
      </c>
      <c r="AB72" s="60">
        <f t="shared" si="11"/>
        <v>0</v>
      </c>
      <c r="AC72" s="60">
        <f t="shared" si="11"/>
        <v>0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43.6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-48</v>
      </c>
      <c r="C73" s="45">
        <v>-63</v>
      </c>
      <c r="D73" s="45">
        <v>-69.2</v>
      </c>
      <c r="E73" s="45">
        <v>-70.3</v>
      </c>
      <c r="F73" s="45">
        <v>-72.5</v>
      </c>
      <c r="G73" s="45">
        <v>-72.599999999999994</v>
      </c>
      <c r="H73" s="45">
        <v>-72.5</v>
      </c>
      <c r="I73" s="45">
        <v>-73.2</v>
      </c>
      <c r="J73" s="45">
        <v>-72.8</v>
      </c>
      <c r="K73" s="45">
        <v>-74.400000000000006</v>
      </c>
      <c r="L73" s="45">
        <v>-75.099999999999994</v>
      </c>
      <c r="M73" s="45">
        <v>-70.3</v>
      </c>
      <c r="N73" s="45">
        <v>-70</v>
      </c>
      <c r="O73" s="45">
        <v>-65.2</v>
      </c>
      <c r="P73" s="45">
        <v>-54</v>
      </c>
      <c r="Q73" s="45">
        <v>-60</v>
      </c>
      <c r="R73" s="45">
        <v>-62</v>
      </c>
      <c r="S73" s="45">
        <v>-65</v>
      </c>
      <c r="T73" s="45">
        <v>-66.400000000000006</v>
      </c>
      <c r="U73" s="45">
        <v>-56.5</v>
      </c>
      <c r="V73" s="45">
        <v>-59.2</v>
      </c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51"/>
      <c r="AH73" s="47">
        <f t="shared" si="2"/>
        <v>-48</v>
      </c>
      <c r="AI73" s="48">
        <f t="shared" si="3"/>
        <v>-75.099999999999994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-316</v>
      </c>
      <c r="C75" s="64">
        <v>-339</v>
      </c>
      <c r="D75" s="64">
        <v>-394</v>
      </c>
      <c r="E75" s="64">
        <v>-430.6</v>
      </c>
      <c r="F75" s="64">
        <v>-173.3</v>
      </c>
      <c r="G75" s="64">
        <v>-162</v>
      </c>
      <c r="H75" s="64">
        <v>-187.2</v>
      </c>
      <c r="I75" s="64">
        <v>-182.7</v>
      </c>
      <c r="J75" s="64">
        <v>-173.5</v>
      </c>
      <c r="K75" s="64">
        <v>-174.9</v>
      </c>
      <c r="L75" s="64">
        <v>-165</v>
      </c>
      <c r="M75" s="64">
        <v>-121</v>
      </c>
      <c r="N75" s="64">
        <v>-136</v>
      </c>
      <c r="O75" s="64">
        <v>-112.1</v>
      </c>
      <c r="P75" s="64">
        <v>-94</v>
      </c>
      <c r="Q75" s="64">
        <v>-105</v>
      </c>
      <c r="R75" s="64">
        <v>-89</v>
      </c>
      <c r="S75" s="64">
        <v>-92</v>
      </c>
      <c r="T75" s="64">
        <v>-82.6</v>
      </c>
      <c r="U75" s="64">
        <v>-124</v>
      </c>
      <c r="V75" s="64">
        <v>-136</v>
      </c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74"/>
      <c r="AH75" s="47">
        <f t="shared" si="2"/>
        <v>-82.6</v>
      </c>
      <c r="AI75" s="48">
        <f t="shared" si="3"/>
        <v>-430.6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3"/>
        <v>0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3"/>
        <v>0</v>
      </c>
      <c r="AI80" s="48">
        <f t="shared" si="1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5">SUMIF(B73:B83,"&gt;0")</f>
        <v>0</v>
      </c>
      <c r="C84" s="60">
        <f t="shared" si="15"/>
        <v>0</v>
      </c>
      <c r="D84" s="60">
        <f t="shared" si="15"/>
        <v>0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>SUMIF(N73:N83,"&gt;0")</f>
        <v>0</v>
      </c>
      <c r="O84" s="60">
        <f t="shared" si="15"/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si="15"/>
        <v>0</v>
      </c>
      <c r="T84" s="60">
        <f t="shared" si="15"/>
        <v>0</v>
      </c>
      <c r="U84" s="60">
        <f t="shared" si="15"/>
        <v>0</v>
      </c>
      <c r="V84" s="60">
        <f t="shared" ref="V84" si="16">SUMIF(V73:V83,"&gt;0")</f>
        <v>0</v>
      </c>
      <c r="W84" s="60">
        <f t="shared" si="15"/>
        <v>0</v>
      </c>
      <c r="X84" s="60">
        <f t="shared" si="15"/>
        <v>0</v>
      </c>
      <c r="Y84" s="60">
        <f t="shared" si="15"/>
        <v>0</v>
      </c>
      <c r="Z84" s="60">
        <f t="shared" si="15"/>
        <v>0</v>
      </c>
      <c r="AA84" s="60">
        <f t="shared" si="15"/>
        <v>0</v>
      </c>
      <c r="AB84" s="60">
        <f t="shared" si="15"/>
        <v>0</v>
      </c>
      <c r="AC84" s="60">
        <f t="shared" si="15"/>
        <v>0</v>
      </c>
      <c r="AD84" s="60">
        <f t="shared" si="15"/>
        <v>0</v>
      </c>
      <c r="AE84" s="60">
        <f t="shared" si="15"/>
        <v>0</v>
      </c>
      <c r="AF84" s="60">
        <f t="shared" si="15"/>
        <v>0</v>
      </c>
      <c r="AG84" s="87">
        <f>SUM(AG73:AG83)</f>
        <v>0</v>
      </c>
      <c r="AH84" s="47">
        <f t="shared" si="13"/>
        <v>0</v>
      </c>
      <c r="AI84" s="48">
        <f t="shared" si="14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2027.9999999999998</v>
      </c>
      <c r="C89" s="94">
        <f t="shared" si="17"/>
        <v>1998</v>
      </c>
      <c r="D89" s="94">
        <f t="shared" si="17"/>
        <v>1992</v>
      </c>
      <c r="E89" s="94">
        <f t="shared" si="17"/>
        <v>1993.9</v>
      </c>
      <c r="F89" s="94">
        <f t="shared" si="17"/>
        <v>1671.6999999999998</v>
      </c>
      <c r="G89" s="94">
        <f t="shared" si="17"/>
        <v>1561.9999999999995</v>
      </c>
      <c r="H89" s="94">
        <f t="shared" si="17"/>
        <v>1554.8999999999996</v>
      </c>
      <c r="I89" s="94">
        <f t="shared" si="17"/>
        <v>1557.3999999999996</v>
      </c>
      <c r="J89" s="94">
        <f t="shared" si="17"/>
        <v>1551.8999999999996</v>
      </c>
      <c r="K89" s="94">
        <f t="shared" si="17"/>
        <v>1504.1</v>
      </c>
      <c r="L89" s="94">
        <f t="shared" si="17"/>
        <v>1516.3</v>
      </c>
      <c r="M89" s="94">
        <f t="shared" si="17"/>
        <v>1527.2</v>
      </c>
      <c r="N89" s="94">
        <f t="shared" si="17"/>
        <v>1524.1999999999998</v>
      </c>
      <c r="O89" s="94">
        <f t="shared" si="17"/>
        <v>1541.7999999999997</v>
      </c>
      <c r="P89" s="94">
        <f t="shared" si="17"/>
        <v>1549.8000000000002</v>
      </c>
      <c r="Q89" s="94">
        <f t="shared" si="17"/>
        <v>1568</v>
      </c>
      <c r="R89" s="94">
        <f t="shared" si="17"/>
        <v>1536.5</v>
      </c>
      <c r="S89" s="94">
        <f t="shared" si="17"/>
        <v>1550.5</v>
      </c>
      <c r="T89" s="94">
        <f t="shared" si="17"/>
        <v>1545.8000000000002</v>
      </c>
      <c r="U89" s="94">
        <f t="shared" si="17"/>
        <v>1540</v>
      </c>
      <c r="V89" s="94">
        <f t="shared" ref="V89" si="18">V50+V54+V72+V68+V84+V88</f>
        <v>1509.8999999999999</v>
      </c>
      <c r="W89" s="94">
        <f t="shared" si="17"/>
        <v>3.54</v>
      </c>
      <c r="X89" s="94">
        <f t="shared" si="17"/>
        <v>3.54</v>
      </c>
      <c r="Y89" s="94">
        <f t="shared" si="17"/>
        <v>3.54</v>
      </c>
      <c r="Z89" s="94">
        <f t="shared" si="17"/>
        <v>3.54</v>
      </c>
      <c r="AA89" s="94">
        <f t="shared" si="17"/>
        <v>3.54</v>
      </c>
      <c r="AB89" s="94">
        <f t="shared" si="17"/>
        <v>3.54</v>
      </c>
      <c r="AC89" s="94">
        <f t="shared" si="17"/>
        <v>3.54</v>
      </c>
      <c r="AD89" s="94">
        <f t="shared" si="17"/>
        <v>3.54</v>
      </c>
      <c r="AE89" s="94">
        <f t="shared" si="17"/>
        <v>3.54</v>
      </c>
      <c r="AF89" s="94">
        <f t="shared" si="17"/>
        <v>3.54</v>
      </c>
      <c r="AG89" s="61">
        <f t="shared" si="17"/>
        <v>2111.5500000000002</v>
      </c>
      <c r="AH89" s="47">
        <f t="shared" si="13"/>
        <v>2027.9999999999998</v>
      </c>
      <c r="AI89" s="48">
        <f t="shared" si="14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0</v>
      </c>
      <c r="AI90" s="48">
        <f t="shared" si="14"/>
        <v>0</v>
      </c>
    </row>
    <row r="91" spans="1:40" ht="15.75" thickBot="1" x14ac:dyDescent="0.3">
      <c r="A91" s="73" t="s">
        <v>102</v>
      </c>
      <c r="B91" s="94">
        <f t="shared" ref="B91:AF91" si="19">B89+B90</f>
        <v>2027.9999999999998</v>
      </c>
      <c r="C91" s="94">
        <f t="shared" si="19"/>
        <v>1998</v>
      </c>
      <c r="D91" s="94">
        <f t="shared" si="19"/>
        <v>1992</v>
      </c>
      <c r="E91" s="94">
        <f t="shared" si="19"/>
        <v>1993.9</v>
      </c>
      <c r="F91" s="94">
        <f t="shared" si="19"/>
        <v>1671.6999999999998</v>
      </c>
      <c r="G91" s="94">
        <f t="shared" si="19"/>
        <v>1561.9999999999995</v>
      </c>
      <c r="H91" s="94">
        <f t="shared" si="19"/>
        <v>1554.8999999999996</v>
      </c>
      <c r="I91" s="94">
        <f t="shared" si="19"/>
        <v>1557.3999999999996</v>
      </c>
      <c r="J91" s="94">
        <f t="shared" si="19"/>
        <v>1551.8999999999996</v>
      </c>
      <c r="K91" s="94">
        <f t="shared" si="19"/>
        <v>1504.1</v>
      </c>
      <c r="L91" s="94">
        <f t="shared" si="19"/>
        <v>1516.3</v>
      </c>
      <c r="M91" s="94">
        <f t="shared" si="19"/>
        <v>1527.2</v>
      </c>
      <c r="N91" s="94">
        <f t="shared" si="19"/>
        <v>1524.1999999999998</v>
      </c>
      <c r="O91" s="94">
        <f t="shared" si="19"/>
        <v>1541.7999999999997</v>
      </c>
      <c r="P91" s="94">
        <f t="shared" si="19"/>
        <v>1549.8000000000002</v>
      </c>
      <c r="Q91" s="94">
        <f t="shared" si="19"/>
        <v>1568</v>
      </c>
      <c r="R91" s="94">
        <f t="shared" si="19"/>
        <v>1536.5</v>
      </c>
      <c r="S91" s="94">
        <f t="shared" si="19"/>
        <v>1550.5</v>
      </c>
      <c r="T91" s="94">
        <f t="shared" si="19"/>
        <v>1545.8000000000002</v>
      </c>
      <c r="U91" s="94">
        <f t="shared" si="19"/>
        <v>1540</v>
      </c>
      <c r="V91" s="94">
        <f t="shared" ref="V91" si="20">V89+V90</f>
        <v>1509.8999999999999</v>
      </c>
      <c r="W91" s="94">
        <f t="shared" si="19"/>
        <v>3.54</v>
      </c>
      <c r="X91" s="94">
        <f t="shared" si="19"/>
        <v>3.54</v>
      </c>
      <c r="Y91" s="94">
        <f t="shared" si="19"/>
        <v>3.54</v>
      </c>
      <c r="Z91" s="94">
        <f t="shared" si="19"/>
        <v>3.54</v>
      </c>
      <c r="AA91" s="94">
        <f t="shared" si="19"/>
        <v>3.54</v>
      </c>
      <c r="AB91" s="94">
        <f t="shared" si="19"/>
        <v>3.54</v>
      </c>
      <c r="AC91" s="94">
        <f t="shared" si="19"/>
        <v>3.54</v>
      </c>
      <c r="AD91" s="94">
        <f t="shared" si="19"/>
        <v>3.54</v>
      </c>
      <c r="AE91" s="94">
        <f t="shared" si="19"/>
        <v>3.54</v>
      </c>
      <c r="AF91" s="94">
        <f t="shared" si="19"/>
        <v>3.54</v>
      </c>
      <c r="AG91" s="87">
        <f>AG88+AG84+AG72+AG68+AG50+AG90</f>
        <v>1573.45</v>
      </c>
      <c r="AH91" s="47">
        <f t="shared" si="13"/>
        <v>2027.9999999999998</v>
      </c>
      <c r="AI91" s="48">
        <f t="shared" si="14"/>
        <v>3.54</v>
      </c>
    </row>
    <row r="92" spans="1:40" ht="15.75" thickBot="1" x14ac:dyDescent="0.3">
      <c r="A92" s="73" t="s">
        <v>103</v>
      </c>
      <c r="B92" s="94">
        <f>B91-(-B99)</f>
        <v>1711.9999999999998</v>
      </c>
      <c r="C92" s="94">
        <f t="shared" ref="C92:AF92" si="21">C91-(-C99)</f>
        <v>1659</v>
      </c>
      <c r="D92" s="94">
        <f t="shared" si="21"/>
        <v>1598</v>
      </c>
      <c r="E92" s="94">
        <f t="shared" si="21"/>
        <v>1563.3000000000002</v>
      </c>
      <c r="F92" s="94">
        <f t="shared" si="21"/>
        <v>1498.3999999999999</v>
      </c>
      <c r="G92" s="94">
        <f t="shared" si="21"/>
        <v>1399.9999999999995</v>
      </c>
      <c r="H92" s="94">
        <f t="shared" si="21"/>
        <v>1367.6999999999996</v>
      </c>
      <c r="I92" s="94">
        <f t="shared" si="21"/>
        <v>1374.6999999999996</v>
      </c>
      <c r="J92" s="94">
        <f t="shared" si="21"/>
        <v>1378.3999999999996</v>
      </c>
      <c r="K92" s="94">
        <f t="shared" si="21"/>
        <v>1329.1999999999998</v>
      </c>
      <c r="L92" s="94">
        <f t="shared" si="21"/>
        <v>1351.3</v>
      </c>
      <c r="M92" s="94">
        <f t="shared" si="21"/>
        <v>1406.2</v>
      </c>
      <c r="N92" s="94">
        <f t="shared" si="21"/>
        <v>1388.1999999999998</v>
      </c>
      <c r="O92" s="94">
        <f t="shared" si="21"/>
        <v>1429.6999999999998</v>
      </c>
      <c r="P92" s="94">
        <f t="shared" si="21"/>
        <v>1455.8000000000002</v>
      </c>
      <c r="Q92" s="94">
        <f t="shared" si="21"/>
        <v>1463</v>
      </c>
      <c r="R92" s="94">
        <f t="shared" si="21"/>
        <v>1447.5</v>
      </c>
      <c r="S92" s="94">
        <f t="shared" si="21"/>
        <v>1458.5</v>
      </c>
      <c r="T92" s="94">
        <f t="shared" si="21"/>
        <v>1463.2000000000003</v>
      </c>
      <c r="U92" s="94">
        <f t="shared" si="21"/>
        <v>1416</v>
      </c>
      <c r="V92" s="94">
        <f t="shared" ref="V92" si="22">V91-(-V99)</f>
        <v>1373.8999999999999</v>
      </c>
      <c r="W92" s="94">
        <f t="shared" si="21"/>
        <v>3.54</v>
      </c>
      <c r="X92" s="94">
        <f t="shared" si="21"/>
        <v>3.54</v>
      </c>
      <c r="Y92" s="94">
        <f t="shared" si="21"/>
        <v>3.54</v>
      </c>
      <c r="Z92" s="94">
        <f t="shared" si="21"/>
        <v>3.54</v>
      </c>
      <c r="AA92" s="94">
        <f t="shared" si="21"/>
        <v>3.54</v>
      </c>
      <c r="AB92" s="94">
        <f t="shared" si="21"/>
        <v>3.54</v>
      </c>
      <c r="AC92" s="94">
        <f t="shared" si="21"/>
        <v>3.54</v>
      </c>
      <c r="AD92" s="94">
        <f t="shared" si="21"/>
        <v>3.54</v>
      </c>
      <c r="AE92" s="94">
        <f t="shared" si="21"/>
        <v>3.54</v>
      </c>
      <c r="AF92" s="94">
        <f t="shared" si="21"/>
        <v>3.54</v>
      </c>
      <c r="AG92" s="87"/>
      <c r="AH92" s="47">
        <f t="shared" si="13"/>
        <v>1711.9999999999998</v>
      </c>
      <c r="AI92" s="48">
        <f t="shared" si="14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>
        <f>B75</f>
        <v>-316</v>
      </c>
      <c r="C99" s="60">
        <f t="shared" ref="C99:AF99" si="23">C75</f>
        <v>-339</v>
      </c>
      <c r="D99" s="60">
        <f t="shared" si="23"/>
        <v>-394</v>
      </c>
      <c r="E99" s="60">
        <f t="shared" si="23"/>
        <v>-430.6</v>
      </c>
      <c r="F99" s="60">
        <f t="shared" si="23"/>
        <v>-173.3</v>
      </c>
      <c r="G99" s="60">
        <f t="shared" si="23"/>
        <v>-162</v>
      </c>
      <c r="H99" s="60">
        <f t="shared" si="23"/>
        <v>-187.2</v>
      </c>
      <c r="I99" s="60">
        <f t="shared" si="23"/>
        <v>-182.7</v>
      </c>
      <c r="J99" s="60">
        <f t="shared" si="23"/>
        <v>-173.5</v>
      </c>
      <c r="K99" s="60">
        <f t="shared" si="23"/>
        <v>-174.9</v>
      </c>
      <c r="L99" s="60">
        <f t="shared" si="23"/>
        <v>-165</v>
      </c>
      <c r="M99" s="60">
        <f t="shared" si="23"/>
        <v>-121</v>
      </c>
      <c r="N99" s="60">
        <f t="shared" si="23"/>
        <v>-136</v>
      </c>
      <c r="O99" s="60">
        <f t="shared" si="23"/>
        <v>-112.1</v>
      </c>
      <c r="P99" s="60">
        <f t="shared" si="23"/>
        <v>-94</v>
      </c>
      <c r="Q99" s="60">
        <f t="shared" si="23"/>
        <v>-105</v>
      </c>
      <c r="R99" s="60">
        <f t="shared" si="23"/>
        <v>-89</v>
      </c>
      <c r="S99" s="60">
        <f t="shared" si="23"/>
        <v>-92</v>
      </c>
      <c r="T99" s="60">
        <f t="shared" si="23"/>
        <v>-82.6</v>
      </c>
      <c r="U99" s="60">
        <f t="shared" si="23"/>
        <v>-124</v>
      </c>
      <c r="V99" s="60">
        <f t="shared" ref="V99" si="24">V75</f>
        <v>-136</v>
      </c>
      <c r="W99" s="60">
        <f t="shared" si="23"/>
        <v>0</v>
      </c>
      <c r="X99" s="60">
        <f t="shared" si="23"/>
        <v>0</v>
      </c>
      <c r="Y99" s="60">
        <f t="shared" si="23"/>
        <v>0</v>
      </c>
      <c r="Z99" s="60">
        <f t="shared" si="23"/>
        <v>0</v>
      </c>
      <c r="AA99" s="60">
        <f t="shared" si="23"/>
        <v>0</v>
      </c>
      <c r="AB99" s="60">
        <f t="shared" si="23"/>
        <v>0</v>
      </c>
      <c r="AC99" s="60">
        <f t="shared" si="23"/>
        <v>0</v>
      </c>
      <c r="AD99" s="60">
        <f t="shared" si="23"/>
        <v>0</v>
      </c>
      <c r="AE99" s="60">
        <f t="shared" si="23"/>
        <v>0</v>
      </c>
      <c r="AF99" s="60">
        <f t="shared" si="23"/>
        <v>0</v>
      </c>
      <c r="AG99" s="87"/>
      <c r="AH99" s="47">
        <f t="shared" si="13"/>
        <v>0</v>
      </c>
      <c r="AI99" s="48">
        <f t="shared" si="14"/>
        <v>-430.6</v>
      </c>
      <c r="AK99" s="50"/>
    </row>
    <row r="100" spans="1:37" ht="15.75" thickBot="1" x14ac:dyDescent="0.3">
      <c r="A100" s="73" t="s">
        <v>108</v>
      </c>
      <c r="B100" s="60">
        <f t="shared" ref="B100:AF100" si="25">B84-B99</f>
        <v>316</v>
      </c>
      <c r="C100" s="60">
        <f t="shared" si="25"/>
        <v>339</v>
      </c>
      <c r="D100" s="60">
        <f t="shared" si="25"/>
        <v>394</v>
      </c>
      <c r="E100" s="60">
        <f t="shared" si="25"/>
        <v>430.6</v>
      </c>
      <c r="F100" s="60">
        <f t="shared" si="25"/>
        <v>173.3</v>
      </c>
      <c r="G100" s="60">
        <f t="shared" si="25"/>
        <v>162</v>
      </c>
      <c r="H100" s="60">
        <f t="shared" si="25"/>
        <v>187.2</v>
      </c>
      <c r="I100" s="60">
        <f t="shared" si="25"/>
        <v>182.7</v>
      </c>
      <c r="J100" s="60">
        <f t="shared" si="25"/>
        <v>173.5</v>
      </c>
      <c r="K100" s="60">
        <f t="shared" si="25"/>
        <v>174.9</v>
      </c>
      <c r="L100" s="60">
        <f t="shared" si="25"/>
        <v>165</v>
      </c>
      <c r="M100" s="60">
        <f t="shared" si="25"/>
        <v>121</v>
      </c>
      <c r="N100" s="60">
        <f t="shared" si="25"/>
        <v>136</v>
      </c>
      <c r="O100" s="60">
        <f t="shared" si="25"/>
        <v>112.1</v>
      </c>
      <c r="P100" s="60">
        <f t="shared" si="25"/>
        <v>94</v>
      </c>
      <c r="Q100" s="60">
        <f t="shared" si="25"/>
        <v>105</v>
      </c>
      <c r="R100" s="60">
        <f t="shared" si="25"/>
        <v>89</v>
      </c>
      <c r="S100" s="60">
        <f t="shared" si="25"/>
        <v>92</v>
      </c>
      <c r="T100" s="60">
        <f t="shared" si="25"/>
        <v>82.6</v>
      </c>
      <c r="U100" s="60">
        <f t="shared" si="25"/>
        <v>124</v>
      </c>
      <c r="V100" s="60">
        <f t="shared" ref="V100" si="26">V84-V99</f>
        <v>136</v>
      </c>
      <c r="W100" s="60">
        <f t="shared" si="25"/>
        <v>0</v>
      </c>
      <c r="X100" s="60">
        <f t="shared" si="25"/>
        <v>0</v>
      </c>
      <c r="Y100" s="60">
        <f t="shared" si="25"/>
        <v>0</v>
      </c>
      <c r="Z100" s="60">
        <f t="shared" si="25"/>
        <v>0</v>
      </c>
      <c r="AA100" s="60">
        <f t="shared" si="25"/>
        <v>0</v>
      </c>
      <c r="AB100" s="60">
        <f t="shared" si="25"/>
        <v>0</v>
      </c>
      <c r="AC100" s="60">
        <f t="shared" si="25"/>
        <v>0</v>
      </c>
      <c r="AD100" s="60">
        <f t="shared" si="25"/>
        <v>0</v>
      </c>
      <c r="AE100" s="60">
        <f t="shared" si="25"/>
        <v>0</v>
      </c>
      <c r="AF100" s="60">
        <f t="shared" si="25"/>
        <v>0</v>
      </c>
      <c r="AG100" s="87"/>
      <c r="AH100" s="47">
        <f t="shared" si="13"/>
        <v>430.6</v>
      </c>
      <c r="AI100" s="48">
        <f t="shared" si="14"/>
        <v>0</v>
      </c>
    </row>
    <row r="101" spans="1:37" x14ac:dyDescent="0.25">
      <c r="A101" s="99" t="s">
        <v>109</v>
      </c>
      <c r="B101" s="100">
        <v>50.015000000000001</v>
      </c>
      <c r="C101" s="100">
        <v>50.012</v>
      </c>
      <c r="D101" s="100">
        <v>50.036999999999999</v>
      </c>
      <c r="E101" s="100">
        <v>50.06</v>
      </c>
      <c r="F101" s="100">
        <v>49.965000000000003</v>
      </c>
      <c r="G101" s="100">
        <v>50.027999999999999</v>
      </c>
      <c r="H101" s="100">
        <v>49.881</v>
      </c>
      <c r="I101" s="100">
        <v>49.997</v>
      </c>
      <c r="J101" s="100">
        <v>50.031999999999996</v>
      </c>
      <c r="K101" s="100">
        <v>50.027000000000001</v>
      </c>
      <c r="L101" s="100">
        <v>50.024000000000001</v>
      </c>
      <c r="M101" s="100">
        <v>50.012999999999998</v>
      </c>
      <c r="N101" s="100">
        <v>50.011000000000003</v>
      </c>
      <c r="O101" s="100">
        <v>50.029000000000003</v>
      </c>
      <c r="P101" s="100">
        <v>50.054000000000002</v>
      </c>
      <c r="Q101" s="100">
        <v>50.045000000000002</v>
      </c>
      <c r="R101" s="100">
        <v>50.072000000000003</v>
      </c>
      <c r="S101" s="100">
        <v>50.091999999999999</v>
      </c>
      <c r="T101" s="100">
        <v>50</v>
      </c>
      <c r="U101" s="100">
        <v>50.112000000000002</v>
      </c>
      <c r="V101" s="100">
        <v>50.109000000000002</v>
      </c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1"/>
      <c r="AH101" s="47">
        <f t="shared" si="13"/>
        <v>50.112000000000002</v>
      </c>
      <c r="AI101" s="48">
        <f t="shared" si="14"/>
        <v>49.881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128.69999999999999</v>
      </c>
      <c r="C103" s="64">
        <v>128.19999999999999</v>
      </c>
      <c r="D103" s="64">
        <v>129.69999999999999</v>
      </c>
      <c r="E103" s="64">
        <v>130.4</v>
      </c>
      <c r="F103" s="64">
        <v>131.4</v>
      </c>
      <c r="G103" s="64">
        <v>130.5</v>
      </c>
      <c r="H103" s="64">
        <v>129.69999999999999</v>
      </c>
      <c r="I103" s="64">
        <v>129.19999999999999</v>
      </c>
      <c r="J103" s="64">
        <v>128.80000000000001</v>
      </c>
      <c r="K103" s="64">
        <v>127.3</v>
      </c>
      <c r="L103" s="64">
        <v>128.1</v>
      </c>
      <c r="M103" s="64">
        <v>128.1</v>
      </c>
      <c r="N103" s="64">
        <v>127.9</v>
      </c>
      <c r="O103" s="64">
        <v>128.1</v>
      </c>
      <c r="P103" s="64">
        <v>128.1</v>
      </c>
      <c r="Q103" s="64">
        <v>128.1</v>
      </c>
      <c r="R103" s="64">
        <v>128.80000000000001</v>
      </c>
      <c r="S103" s="64">
        <v>129.4</v>
      </c>
      <c r="T103" s="64">
        <v>129.4</v>
      </c>
      <c r="U103" s="64">
        <v>129.4</v>
      </c>
      <c r="V103" s="64">
        <v>129.9</v>
      </c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103"/>
      <c r="AH103" s="47">
        <f t="shared" si="13"/>
        <v>131.4</v>
      </c>
      <c r="AI103" s="48">
        <f t="shared" si="14"/>
        <v>127.3</v>
      </c>
    </row>
    <row r="104" spans="1:37" x14ac:dyDescent="0.25">
      <c r="A104" s="102" t="s">
        <v>112</v>
      </c>
      <c r="B104" s="64">
        <v>129</v>
      </c>
      <c r="C104" s="64">
        <v>129.30000000000001</v>
      </c>
      <c r="D104" s="64">
        <v>130.6</v>
      </c>
      <c r="E104" s="64">
        <v>131.1</v>
      </c>
      <c r="F104" s="64">
        <v>131.1</v>
      </c>
      <c r="G104" s="64">
        <v>131.30000000000001</v>
      </c>
      <c r="H104" s="64">
        <v>132.19999999999999</v>
      </c>
      <c r="I104" s="64">
        <v>129.9</v>
      </c>
      <c r="J104" s="64">
        <v>129.80000000000001</v>
      </c>
      <c r="K104" s="64">
        <v>129.69999999999999</v>
      </c>
      <c r="L104" s="64">
        <v>129.5</v>
      </c>
      <c r="M104" s="64">
        <v>129.5</v>
      </c>
      <c r="N104" s="64">
        <v>128.5</v>
      </c>
      <c r="O104" s="64">
        <v>128.30000000000001</v>
      </c>
      <c r="P104" s="64">
        <v>128.30000000000001</v>
      </c>
      <c r="Q104" s="64">
        <v>128.30000000000001</v>
      </c>
      <c r="R104" s="64">
        <v>129</v>
      </c>
      <c r="S104" s="64">
        <v>129</v>
      </c>
      <c r="T104" s="64">
        <v>129</v>
      </c>
      <c r="U104" s="64">
        <v>129</v>
      </c>
      <c r="V104" s="64">
        <v>131.4</v>
      </c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103"/>
      <c r="AH104" s="47">
        <f t="shared" si="13"/>
        <v>132.19999999999999</v>
      </c>
      <c r="AI104" s="48">
        <f t="shared" si="14"/>
        <v>128.30000000000001</v>
      </c>
    </row>
    <row r="105" spans="1:37" x14ac:dyDescent="0.25">
      <c r="A105" s="104" t="s">
        <v>113</v>
      </c>
      <c r="B105" s="64">
        <v>132.4</v>
      </c>
      <c r="C105" s="64">
        <v>132.4</v>
      </c>
      <c r="D105" s="64">
        <v>133.6</v>
      </c>
      <c r="E105" s="64">
        <v>134.30000000000001</v>
      </c>
      <c r="F105" s="64">
        <v>134.5</v>
      </c>
      <c r="G105" s="64">
        <v>133.80000000000001</v>
      </c>
      <c r="H105" s="64">
        <v>133.4</v>
      </c>
      <c r="I105" s="64">
        <v>129</v>
      </c>
      <c r="J105" s="64">
        <v>130.80000000000001</v>
      </c>
      <c r="K105" s="64">
        <v>131.69999999999999</v>
      </c>
      <c r="L105" s="64">
        <v>131.30000000000001</v>
      </c>
      <c r="M105" s="64">
        <v>131.30000000000001</v>
      </c>
      <c r="N105" s="64">
        <v>129.5</v>
      </c>
      <c r="O105" s="64">
        <v>129.9</v>
      </c>
      <c r="P105" s="64">
        <v>129.9</v>
      </c>
      <c r="Q105" s="64">
        <v>129.9</v>
      </c>
      <c r="R105" s="64">
        <v>131.4</v>
      </c>
      <c r="S105" s="64">
        <v>130.9</v>
      </c>
      <c r="T105" s="64">
        <v>130.9</v>
      </c>
      <c r="U105" s="64">
        <v>130.9</v>
      </c>
      <c r="V105" s="64">
        <v>133.6</v>
      </c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103"/>
      <c r="AH105" s="47">
        <f t="shared" si="13"/>
        <v>134.5</v>
      </c>
      <c r="AI105" s="48">
        <f t="shared" si="14"/>
        <v>129</v>
      </c>
    </row>
    <row r="106" spans="1:37" x14ac:dyDescent="0.25">
      <c r="A106" s="104" t="s">
        <v>114</v>
      </c>
      <c r="B106" s="105">
        <v>134.19999999999999</v>
      </c>
      <c r="C106" s="105">
        <v>131.6</v>
      </c>
      <c r="D106" s="105">
        <v>132.19999999999999</v>
      </c>
      <c r="E106" s="105">
        <v>133.30000000000001</v>
      </c>
      <c r="F106" s="105">
        <v>134.80000000000001</v>
      </c>
      <c r="G106" s="105">
        <v>132.80000000000001</v>
      </c>
      <c r="H106" s="105">
        <v>130.9</v>
      </c>
      <c r="I106" s="105">
        <v>129.9</v>
      </c>
      <c r="J106" s="105">
        <v>133.80000000000001</v>
      </c>
      <c r="K106" s="105">
        <v>134.1</v>
      </c>
      <c r="L106" s="105">
        <v>132.5</v>
      </c>
      <c r="M106" s="105">
        <v>132.5</v>
      </c>
      <c r="N106" s="105">
        <v>130</v>
      </c>
      <c r="O106" s="105">
        <v>131.5</v>
      </c>
      <c r="P106" s="105">
        <v>131.5</v>
      </c>
      <c r="Q106" s="105">
        <v>131.5</v>
      </c>
      <c r="R106" s="105">
        <v>133.5</v>
      </c>
      <c r="S106" s="105">
        <v>134.74</v>
      </c>
      <c r="T106" s="105">
        <v>134.74</v>
      </c>
      <c r="U106" s="105">
        <v>134.74</v>
      </c>
      <c r="V106" s="105">
        <v>1289</v>
      </c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13"/>
        <v>1289</v>
      </c>
      <c r="AI106" s="48">
        <f t="shared" si="14"/>
        <v>129.9</v>
      </c>
    </row>
    <row r="107" spans="1:37" x14ac:dyDescent="0.25">
      <c r="A107" s="102" t="s">
        <v>115</v>
      </c>
      <c r="B107" s="64">
        <v>129.6</v>
      </c>
      <c r="C107" s="64">
        <v>127.7</v>
      </c>
      <c r="D107" s="64">
        <v>132.80000000000001</v>
      </c>
      <c r="E107" s="64">
        <v>135.1</v>
      </c>
      <c r="F107" s="64">
        <v>139.9</v>
      </c>
      <c r="G107" s="64">
        <v>135.69999999999999</v>
      </c>
      <c r="H107" s="64">
        <v>133.19999999999999</v>
      </c>
      <c r="I107" s="64">
        <v>130.80000000000001</v>
      </c>
      <c r="J107" s="64">
        <v>137.9</v>
      </c>
      <c r="K107" s="64">
        <v>135.30000000000001</v>
      </c>
      <c r="L107" s="64">
        <v>132.80000000000001</v>
      </c>
      <c r="M107" s="64">
        <v>132.80000000000001</v>
      </c>
      <c r="N107" s="64">
        <v>127.2</v>
      </c>
      <c r="O107" s="64">
        <v>132.69999999999999</v>
      </c>
      <c r="P107" s="64">
        <v>132.69999999999999</v>
      </c>
      <c r="Q107" s="64">
        <v>132.69999999999999</v>
      </c>
      <c r="R107" s="64">
        <v>135.30000000000001</v>
      </c>
      <c r="S107" s="64">
        <v>136</v>
      </c>
      <c r="T107" s="64">
        <v>136</v>
      </c>
      <c r="U107" s="64">
        <v>136</v>
      </c>
      <c r="V107" s="64">
        <v>129.4</v>
      </c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103"/>
      <c r="AH107" s="47">
        <f t="shared" si="13"/>
        <v>139.9</v>
      </c>
      <c r="AI107" s="48">
        <f t="shared" si="14"/>
        <v>127.2</v>
      </c>
    </row>
    <row r="108" spans="1:37" ht="15.75" thickBot="1" x14ac:dyDescent="0.3">
      <c r="A108" s="102" t="s">
        <v>116</v>
      </c>
      <c r="B108" s="91">
        <v>64.8</v>
      </c>
      <c r="C108" s="91">
        <v>64.7</v>
      </c>
      <c r="D108" s="91">
        <v>65.5</v>
      </c>
      <c r="E108" s="91">
        <v>65.900000000000006</v>
      </c>
      <c r="F108" s="91">
        <v>66.400000000000006</v>
      </c>
      <c r="G108" s="91">
        <v>65.900000000000006</v>
      </c>
      <c r="H108" s="91">
        <v>65.5</v>
      </c>
      <c r="I108" s="91">
        <v>65.099999999999994</v>
      </c>
      <c r="J108" s="91">
        <v>64.599999999999994</v>
      </c>
      <c r="K108" s="91">
        <v>63.8</v>
      </c>
      <c r="L108" s="91">
        <v>64.5</v>
      </c>
      <c r="M108" s="91">
        <v>64.5</v>
      </c>
      <c r="N108" s="91">
        <v>64.599999999999994</v>
      </c>
      <c r="O108" s="91">
        <v>64.599999999999994</v>
      </c>
      <c r="P108" s="91">
        <v>64.599999999999994</v>
      </c>
      <c r="Q108" s="91">
        <v>64.599999999999994</v>
      </c>
      <c r="R108" s="91">
        <v>64.599999999999994</v>
      </c>
      <c r="S108" s="91">
        <v>64.8</v>
      </c>
      <c r="T108" s="91">
        <v>64.8</v>
      </c>
      <c r="U108" s="91">
        <v>64.8</v>
      </c>
      <c r="V108" s="91">
        <v>65.2</v>
      </c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107"/>
      <c r="AH108" s="47">
        <f t="shared" si="13"/>
        <v>66.400000000000006</v>
      </c>
      <c r="AI108" s="48">
        <f t="shared" si="14"/>
        <v>63.8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7">SUM(B20,B26,B29:B30,B58,B60:B61,B63,B65,B111:B115,B138,B144,B150,B159,B161,B173,B180,B183:B184,B191,B193,B195,B199:B201,B203:B205,B210,B216:B217,B219:B221,B229,B234)</f>
        <v>56.900000000000006</v>
      </c>
      <c r="C110" s="110">
        <f t="shared" si="27"/>
        <v>41.939999999999991</v>
      </c>
      <c r="D110" s="110">
        <f t="shared" si="27"/>
        <v>52.94</v>
      </c>
      <c r="E110" s="110">
        <f t="shared" si="27"/>
        <v>30.940000000000012</v>
      </c>
      <c r="F110" s="110">
        <f t="shared" si="27"/>
        <v>41.040000000000013</v>
      </c>
      <c r="G110" s="110">
        <f t="shared" si="27"/>
        <v>63.139999999999972</v>
      </c>
      <c r="H110" s="110">
        <f t="shared" si="27"/>
        <v>81.739999999999981</v>
      </c>
      <c r="I110" s="110">
        <f t="shared" si="27"/>
        <v>81.14</v>
      </c>
      <c r="J110" s="110">
        <f t="shared" si="27"/>
        <v>91.039999999999978</v>
      </c>
      <c r="K110" s="110">
        <f t="shared" si="27"/>
        <v>134.13999999999999</v>
      </c>
      <c r="L110" s="110">
        <f t="shared" si="27"/>
        <v>141.93999999999997</v>
      </c>
      <c r="M110" s="110">
        <f t="shared" si="27"/>
        <v>141.93999999999997</v>
      </c>
      <c r="N110" s="110">
        <f t="shared" si="27"/>
        <v>174.23999999999998</v>
      </c>
      <c r="O110" s="110">
        <f t="shared" si="27"/>
        <v>161.73999999999998</v>
      </c>
      <c r="P110" s="110">
        <v>42</v>
      </c>
      <c r="Q110" s="110">
        <f t="shared" ref="Q110:AF110" si="28">SUM(Q20,Q26,Q29:Q30,Q58,Q60:Q61,Q63,Q65,Q111:Q115,Q138,Q144,Q150,Q159,Q161,Q173,Q180,Q183:Q184,Q191,Q193,Q195,Q199:Q201,Q203:Q205,Q210,Q216:Q217,Q219:Q221,Q229,Q234)</f>
        <v>165.60000000000002</v>
      </c>
      <c r="R110" s="110">
        <f t="shared" si="28"/>
        <v>181.9</v>
      </c>
      <c r="S110" s="110">
        <f t="shared" si="28"/>
        <v>176.7</v>
      </c>
      <c r="T110" s="110">
        <f t="shared" si="28"/>
        <v>166.9</v>
      </c>
      <c r="U110" s="110">
        <f t="shared" si="28"/>
        <v>161.42999999999998</v>
      </c>
      <c r="V110" s="110">
        <f t="shared" ref="V110" si="29">SUM(V20,V26,V29:V30,V58,V60:V61,V63,V65,V111:V115,V138,V144,V150,V159,V161,V173,V180,V183:V184,V191,V193,V195,V199:V201,V203:V205,V210,V216:V217,V219:V221,V229,V234)</f>
        <v>219.60000000000002</v>
      </c>
      <c r="W110" s="110">
        <f t="shared" si="28"/>
        <v>0</v>
      </c>
      <c r="X110" s="110">
        <f t="shared" si="28"/>
        <v>0</v>
      </c>
      <c r="Y110" s="110">
        <f t="shared" si="28"/>
        <v>0</v>
      </c>
      <c r="Z110" s="110">
        <f t="shared" si="28"/>
        <v>0</v>
      </c>
      <c r="AA110" s="110">
        <f t="shared" si="28"/>
        <v>0</v>
      </c>
      <c r="AB110" s="110">
        <f t="shared" si="28"/>
        <v>0</v>
      </c>
      <c r="AC110" s="110">
        <f t="shared" si="28"/>
        <v>0</v>
      </c>
      <c r="AD110" s="110"/>
      <c r="AE110" s="110">
        <f t="shared" si="28"/>
        <v>0</v>
      </c>
      <c r="AF110" s="110">
        <f t="shared" si="28"/>
        <v>0</v>
      </c>
      <c r="AG110" s="111"/>
      <c r="AH110" s="47">
        <f t="shared" si="13"/>
        <v>219.60000000000002</v>
      </c>
      <c r="AI110" s="48">
        <f t="shared" si="14"/>
        <v>0</v>
      </c>
    </row>
    <row r="111" spans="1:37" x14ac:dyDescent="0.25">
      <c r="A111" s="99" t="s">
        <v>119</v>
      </c>
      <c r="B111" s="112">
        <v>15</v>
      </c>
      <c r="C111" s="112">
        <v>15.2</v>
      </c>
      <c r="D111" s="112">
        <v>12.1</v>
      </c>
      <c r="E111" s="112">
        <v>11.6</v>
      </c>
      <c r="F111" s="112">
        <v>13.1</v>
      </c>
      <c r="G111" s="112">
        <v>22.1</v>
      </c>
      <c r="H111" s="112">
        <v>25.5</v>
      </c>
      <c r="I111" s="112">
        <v>26.5</v>
      </c>
      <c r="J111" s="112">
        <v>30.1</v>
      </c>
      <c r="K111" s="112">
        <v>28.3</v>
      </c>
      <c r="L111" s="112">
        <v>29.9</v>
      </c>
      <c r="M111" s="112">
        <v>29.9</v>
      </c>
      <c r="N111" s="112">
        <v>28</v>
      </c>
      <c r="O111" s="112">
        <v>26.6</v>
      </c>
      <c r="P111" s="112">
        <v>26.6</v>
      </c>
      <c r="Q111" s="112">
        <v>26.6</v>
      </c>
      <c r="R111" s="112">
        <v>27.9</v>
      </c>
      <c r="S111" s="112">
        <v>26.4</v>
      </c>
      <c r="T111" s="112">
        <v>24.4</v>
      </c>
      <c r="U111" s="112">
        <v>18.2</v>
      </c>
      <c r="V111" s="112">
        <v>19.3</v>
      </c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3">
        <v>75</v>
      </c>
      <c r="AH111" s="47">
        <f t="shared" si="13"/>
        <v>30.1</v>
      </c>
      <c r="AI111" s="48">
        <f t="shared" si="14"/>
        <v>11.6</v>
      </c>
    </row>
    <row r="112" spans="1:37" x14ac:dyDescent="0.25">
      <c r="A112" s="102" t="s">
        <v>120</v>
      </c>
      <c r="B112" s="114">
        <v>24.3</v>
      </c>
      <c r="C112" s="114">
        <v>24.3</v>
      </c>
      <c r="D112" s="114">
        <v>19.3</v>
      </c>
      <c r="E112" s="114">
        <v>19.8</v>
      </c>
      <c r="F112" s="114">
        <v>24.5</v>
      </c>
      <c r="G112" s="114">
        <v>37.1</v>
      </c>
      <c r="H112" s="114">
        <v>41.1</v>
      </c>
      <c r="I112" s="114">
        <v>41.3</v>
      </c>
      <c r="J112" s="114">
        <v>46.1</v>
      </c>
      <c r="K112" s="114">
        <v>40.299999999999997</v>
      </c>
      <c r="L112" s="114">
        <v>42.3</v>
      </c>
      <c r="M112" s="114">
        <v>42.3</v>
      </c>
      <c r="N112" s="114">
        <v>40.700000000000003</v>
      </c>
      <c r="O112" s="114">
        <v>38.4</v>
      </c>
      <c r="P112" s="114">
        <v>38.4</v>
      </c>
      <c r="Q112" s="114">
        <v>38.4</v>
      </c>
      <c r="R112" s="114">
        <v>40.9</v>
      </c>
      <c r="S112" s="114">
        <v>36.5</v>
      </c>
      <c r="T112" s="114">
        <v>34.4</v>
      </c>
      <c r="U112" s="114">
        <v>24</v>
      </c>
      <c r="V112" s="114">
        <v>26.1</v>
      </c>
      <c r="W112" s="114"/>
      <c r="X112" s="114"/>
      <c r="Y112" s="114"/>
      <c r="Z112" s="114"/>
      <c r="AA112" s="114"/>
      <c r="AB112" s="114"/>
      <c r="AC112" s="114"/>
      <c r="AD112" s="114"/>
      <c r="AE112" s="114"/>
      <c r="AF112" s="114"/>
      <c r="AG112" s="113">
        <v>240</v>
      </c>
      <c r="AH112" s="47">
        <f t="shared" si="13"/>
        <v>46.1</v>
      </c>
      <c r="AI112" s="48">
        <f t="shared" si="14"/>
        <v>19.3</v>
      </c>
    </row>
    <row r="113" spans="1:37" x14ac:dyDescent="0.25">
      <c r="A113" s="102" t="s">
        <v>121</v>
      </c>
      <c r="B113" s="114">
        <v>-142</v>
      </c>
      <c r="C113" s="114">
        <v>-145</v>
      </c>
      <c r="D113" s="114">
        <v>-150</v>
      </c>
      <c r="E113" s="114">
        <f>-74.6-80</f>
        <v>-154.6</v>
      </c>
      <c r="F113" s="114">
        <f>-73.3-79.6</f>
        <v>-152.89999999999998</v>
      </c>
      <c r="G113" s="114">
        <f>-79.8-86.2</f>
        <v>-166</v>
      </c>
      <c r="H113" s="114">
        <f>-78.9-84.5</f>
        <v>-163.4</v>
      </c>
      <c r="I113" s="114">
        <f>-74-79.8</f>
        <v>-153.80000000000001</v>
      </c>
      <c r="J113" s="114">
        <f>-76.8-76</f>
        <v>-152.80000000000001</v>
      </c>
      <c r="K113" s="114">
        <f>-71.1-74.2</f>
        <v>-145.30000000000001</v>
      </c>
      <c r="L113" s="114">
        <f>-68.3-73.5</f>
        <v>-141.80000000000001</v>
      </c>
      <c r="M113" s="114">
        <f t="shared" ref="M113" si="30">-68.3-73.5</f>
        <v>-141.80000000000001</v>
      </c>
      <c r="N113" s="114">
        <v>-146</v>
      </c>
      <c r="O113" s="114">
        <v>-157</v>
      </c>
      <c r="P113" s="114">
        <v>-157</v>
      </c>
      <c r="Q113" s="114">
        <v>-157</v>
      </c>
      <c r="R113" s="114">
        <v>-150</v>
      </c>
      <c r="S113" s="114">
        <v>-150</v>
      </c>
      <c r="T113" s="114">
        <v>-151</v>
      </c>
      <c r="U113" s="114">
        <v>-140</v>
      </c>
      <c r="V113" s="114">
        <v>-79.900000000000006</v>
      </c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3">
        <v>240</v>
      </c>
      <c r="AH113" s="47">
        <f t="shared" si="13"/>
        <v>-79.900000000000006</v>
      </c>
      <c r="AI113" s="48">
        <f t="shared" si="14"/>
        <v>-166</v>
      </c>
    </row>
    <row r="114" spans="1:37" x14ac:dyDescent="0.25">
      <c r="A114" s="102" t="s">
        <v>122</v>
      </c>
      <c r="B114" s="114">
        <v>-11</v>
      </c>
      <c r="C114" s="114">
        <v>-12.1</v>
      </c>
      <c r="D114" s="114">
        <v>12</v>
      </c>
      <c r="E114" s="114">
        <v>-13.3</v>
      </c>
      <c r="F114" s="114">
        <v>-11.1</v>
      </c>
      <c r="G114" s="114">
        <v>-9.3000000000000007</v>
      </c>
      <c r="H114" s="114">
        <v>9</v>
      </c>
      <c r="I114" s="114">
        <v>-5.3</v>
      </c>
      <c r="J114" s="114">
        <v>-2.2000000000000002</v>
      </c>
      <c r="K114" s="114">
        <v>0.8</v>
      </c>
      <c r="L114" s="114">
        <v>1</v>
      </c>
      <c r="M114" s="114">
        <v>1</v>
      </c>
      <c r="N114" s="114">
        <v>9.6</v>
      </c>
      <c r="O114" s="114">
        <v>14.8</v>
      </c>
      <c r="P114" s="114">
        <v>14.8</v>
      </c>
      <c r="Q114" s="114">
        <v>14.8</v>
      </c>
      <c r="R114" s="114">
        <v>24.7</v>
      </c>
      <c r="S114" s="114">
        <v>25.8</v>
      </c>
      <c r="T114" s="114">
        <v>25.4</v>
      </c>
      <c r="U114" s="114">
        <v>25.23</v>
      </c>
      <c r="V114" s="114">
        <v>25.4</v>
      </c>
      <c r="W114" s="114"/>
      <c r="X114" s="114"/>
      <c r="Y114" s="114"/>
      <c r="Z114" s="114"/>
      <c r="AA114" s="114"/>
      <c r="AB114" s="114"/>
      <c r="AC114" s="114"/>
      <c r="AD114" s="114"/>
      <c r="AE114" s="114"/>
      <c r="AF114" s="114"/>
      <c r="AG114" s="113">
        <v>60</v>
      </c>
      <c r="AH114" s="47">
        <f t="shared" si="13"/>
        <v>25.8</v>
      </c>
      <c r="AI114" s="48">
        <f t="shared" si="14"/>
        <v>-13.3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7.4</v>
      </c>
      <c r="K115" s="116">
        <v>34.9</v>
      </c>
      <c r="L115" s="116">
        <v>34.6</v>
      </c>
      <c r="M115" s="116">
        <v>34.6</v>
      </c>
      <c r="N115" s="116">
        <v>41.5</v>
      </c>
      <c r="O115" s="116">
        <v>35.799999999999997</v>
      </c>
      <c r="P115" s="116">
        <v>35.799999999999997</v>
      </c>
      <c r="Q115" s="116">
        <v>35.799999999999997</v>
      </c>
      <c r="R115" s="116">
        <v>33.4</v>
      </c>
      <c r="S115" s="116">
        <v>33</v>
      </c>
      <c r="T115" s="116">
        <v>28.7</v>
      </c>
      <c r="U115" s="116">
        <v>29</v>
      </c>
      <c r="V115" s="116">
        <v>28.9</v>
      </c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7">
        <v>120</v>
      </c>
      <c r="AH115" s="47">
        <f t="shared" si="13"/>
        <v>41.5</v>
      </c>
      <c r="AI115" s="48">
        <f t="shared" si="14"/>
        <v>0</v>
      </c>
    </row>
    <row r="116" spans="1:37" x14ac:dyDescent="0.25">
      <c r="A116" s="115" t="s">
        <v>124</v>
      </c>
      <c r="B116" s="116">
        <v>64</v>
      </c>
      <c r="C116" s="116">
        <v>67</v>
      </c>
      <c r="D116" s="116">
        <v>18</v>
      </c>
      <c r="E116" s="116">
        <v>-16.3</v>
      </c>
      <c r="F116" s="116">
        <v>-33</v>
      </c>
      <c r="G116" s="116">
        <v>-78.400000000000006</v>
      </c>
      <c r="H116" s="116">
        <v>-86.1</v>
      </c>
      <c r="I116" s="116">
        <v>-85.1</v>
      </c>
      <c r="J116" s="116">
        <v>-84.4</v>
      </c>
      <c r="K116" s="116">
        <v>-74.3</v>
      </c>
      <c r="L116" s="116">
        <v>-73.599999999999994</v>
      </c>
      <c r="M116" s="116">
        <v>-73.599999999999994</v>
      </c>
      <c r="N116" s="116">
        <v>-75.599999999999994</v>
      </c>
      <c r="O116" s="116">
        <v>-68</v>
      </c>
      <c r="P116" s="116">
        <v>-69</v>
      </c>
      <c r="Q116" s="116">
        <v>-60</v>
      </c>
      <c r="R116" s="116">
        <v>-50.6</v>
      </c>
      <c r="S116" s="116">
        <v>-34.5</v>
      </c>
      <c r="T116" s="116">
        <v>-44.8</v>
      </c>
      <c r="U116" s="116">
        <v>-50.4</v>
      </c>
      <c r="V116" s="116">
        <v>-49.8</v>
      </c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7"/>
      <c r="AH116" s="47">
        <f t="shared" si="13"/>
        <v>67</v>
      </c>
      <c r="AI116" s="48">
        <f t="shared" si="14"/>
        <v>-86.1</v>
      </c>
    </row>
    <row r="117" spans="1:37" x14ac:dyDescent="0.25">
      <c r="A117" s="115" t="s">
        <v>125</v>
      </c>
      <c r="B117" s="116">
        <v>11</v>
      </c>
      <c r="C117" s="116">
        <v>5</v>
      </c>
      <c r="D117" s="116">
        <v>4</v>
      </c>
      <c r="E117" s="116">
        <v>3.6</v>
      </c>
      <c r="F117" s="116">
        <v>-4.5</v>
      </c>
      <c r="G117" s="116">
        <v>-2.5</v>
      </c>
      <c r="H117" s="116">
        <v>-9.6</v>
      </c>
      <c r="I117" s="116">
        <v>-11.1</v>
      </c>
      <c r="J117" s="116">
        <v>-19.7</v>
      </c>
      <c r="K117" s="116">
        <v>4.5</v>
      </c>
      <c r="L117" s="116">
        <v>3.3</v>
      </c>
      <c r="M117" s="116">
        <v>3.3</v>
      </c>
      <c r="N117" s="116">
        <v>4.5</v>
      </c>
      <c r="O117" s="116">
        <v>4.5999999999999996</v>
      </c>
      <c r="P117" s="116">
        <v>4.5999999999999996</v>
      </c>
      <c r="Q117" s="116">
        <v>4.5999999999999996</v>
      </c>
      <c r="R117" s="116">
        <v>4.5999999999999996</v>
      </c>
      <c r="S117" s="116">
        <v>5.7</v>
      </c>
      <c r="T117" s="116">
        <v>5.8</v>
      </c>
      <c r="U117" s="116">
        <v>6.6</v>
      </c>
      <c r="V117" s="116">
        <v>7.5</v>
      </c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8"/>
      <c r="AH117" s="47">
        <f t="shared" si="13"/>
        <v>11</v>
      </c>
      <c r="AI117" s="48">
        <f t="shared" si="14"/>
        <v>-19.7</v>
      </c>
    </row>
    <row r="118" spans="1:37" x14ac:dyDescent="0.25">
      <c r="A118" s="119" t="s">
        <v>126</v>
      </c>
      <c r="B118" s="105">
        <v>38</v>
      </c>
      <c r="C118" s="105">
        <v>40</v>
      </c>
      <c r="D118" s="105">
        <v>43</v>
      </c>
      <c r="E118" s="105">
        <v>44.2</v>
      </c>
      <c r="F118" s="105">
        <v>22.8</v>
      </c>
      <c r="G118" s="105">
        <v>73</v>
      </c>
      <c r="H118" s="105">
        <v>73</v>
      </c>
      <c r="I118" s="105">
        <v>54.5</v>
      </c>
      <c r="J118" s="105">
        <v>52.2</v>
      </c>
      <c r="K118" s="105">
        <v>47.7</v>
      </c>
      <c r="L118" s="105">
        <v>45.6</v>
      </c>
      <c r="M118" s="105">
        <v>45.6</v>
      </c>
      <c r="N118" s="105">
        <v>39.700000000000003</v>
      </c>
      <c r="O118" s="105">
        <v>40.9</v>
      </c>
      <c r="P118" s="105">
        <v>40.9</v>
      </c>
      <c r="Q118" s="105">
        <v>40.9</v>
      </c>
      <c r="R118" s="105">
        <v>40.9</v>
      </c>
      <c r="S118" s="105">
        <v>47.2</v>
      </c>
      <c r="T118" s="105">
        <v>39.6</v>
      </c>
      <c r="U118" s="105">
        <v>58.7</v>
      </c>
      <c r="V118" s="105">
        <v>51.8</v>
      </c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18"/>
      <c r="AH118" s="47">
        <f t="shared" si="13"/>
        <v>73</v>
      </c>
      <c r="AI118" s="48">
        <f t="shared" si="14"/>
        <v>22.8</v>
      </c>
    </row>
    <row r="119" spans="1:37" x14ac:dyDescent="0.25">
      <c r="A119" s="120" t="s">
        <v>127</v>
      </c>
      <c r="B119" s="105">
        <v>95</v>
      </c>
      <c r="C119" s="105">
        <v>97</v>
      </c>
      <c r="D119" s="105">
        <v>100</v>
      </c>
      <c r="E119" s="105">
        <v>100.6</v>
      </c>
      <c r="F119" s="105">
        <v>105</v>
      </c>
      <c r="G119" s="105">
        <v>105.2</v>
      </c>
      <c r="H119" s="105">
        <v>106.9</v>
      </c>
      <c r="I119" s="105">
        <v>101.1</v>
      </c>
      <c r="J119" s="105">
        <v>104.7</v>
      </c>
      <c r="K119" s="105">
        <v>96.3</v>
      </c>
      <c r="L119" s="105">
        <v>94.2</v>
      </c>
      <c r="M119" s="105">
        <v>94.2</v>
      </c>
      <c r="N119" s="105">
        <v>97.7</v>
      </c>
      <c r="O119" s="105">
        <v>97.3</v>
      </c>
      <c r="P119" s="105">
        <v>97.3</v>
      </c>
      <c r="Q119" s="105">
        <v>97.3</v>
      </c>
      <c r="R119" s="105">
        <v>97.3</v>
      </c>
      <c r="S119" s="105">
        <v>83.6</v>
      </c>
      <c r="T119" s="105">
        <v>87</v>
      </c>
      <c r="U119" s="105">
        <v>83.7</v>
      </c>
      <c r="V119" s="105">
        <v>84.7</v>
      </c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18"/>
      <c r="AH119" s="47">
        <f t="shared" si="13"/>
        <v>106.9</v>
      </c>
      <c r="AI119" s="48">
        <f t="shared" si="14"/>
        <v>83.6</v>
      </c>
    </row>
    <row r="120" spans="1:37" ht="15.75" thickBot="1" x14ac:dyDescent="0.3">
      <c r="A120" s="119" t="s">
        <v>128</v>
      </c>
      <c r="B120" s="105">
        <v>34</v>
      </c>
      <c r="C120" s="105">
        <v>35</v>
      </c>
      <c r="D120" s="105">
        <v>28</v>
      </c>
      <c r="E120" s="105">
        <v>22.1</v>
      </c>
      <c r="F120" s="105">
        <v>26.1</v>
      </c>
      <c r="G120" s="105">
        <v>-25.8</v>
      </c>
      <c r="H120" s="105">
        <v>-30.8</v>
      </c>
      <c r="I120" s="105">
        <v>-28.5</v>
      </c>
      <c r="J120" s="105">
        <v>-27.8</v>
      </c>
      <c r="K120" s="105">
        <v>-21.4</v>
      </c>
      <c r="L120" s="105">
        <v>-15.4</v>
      </c>
      <c r="M120" s="105">
        <v>-15.4</v>
      </c>
      <c r="N120" s="105">
        <v>-2.9</v>
      </c>
      <c r="O120" s="105">
        <v>-7.4</v>
      </c>
      <c r="P120" s="105">
        <v>-7.4</v>
      </c>
      <c r="Q120" s="105">
        <v>-7.4</v>
      </c>
      <c r="R120" s="105">
        <v>-7.4</v>
      </c>
      <c r="S120" s="105">
        <v>1.6</v>
      </c>
      <c r="T120" s="105">
        <v>7.1</v>
      </c>
      <c r="U120" s="105">
        <v>-14.2</v>
      </c>
      <c r="V120" s="105">
        <v>-11.7</v>
      </c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18"/>
      <c r="AH120" s="47">
        <f t="shared" si="13"/>
        <v>35</v>
      </c>
      <c r="AI120" s="48">
        <f t="shared" si="14"/>
        <v>-30.8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31">SUM(B122:B226)</f>
        <v>0</v>
      </c>
      <c r="C227" s="136">
        <f t="shared" si="31"/>
        <v>0</v>
      </c>
      <c r="D227" s="136">
        <f t="shared" si="31"/>
        <v>0</v>
      </c>
      <c r="E227" s="136">
        <f t="shared" si="31"/>
        <v>0</v>
      </c>
      <c r="F227" s="136">
        <f t="shared" si="31"/>
        <v>0</v>
      </c>
      <c r="G227" s="136">
        <f t="shared" si="31"/>
        <v>0</v>
      </c>
      <c r="H227" s="136">
        <f t="shared" si="31"/>
        <v>0</v>
      </c>
      <c r="I227" s="136">
        <f t="shared" si="31"/>
        <v>0</v>
      </c>
      <c r="J227" s="136">
        <f t="shared" si="31"/>
        <v>0</v>
      </c>
      <c r="K227" s="136">
        <f t="shared" si="31"/>
        <v>0</v>
      </c>
      <c r="L227" s="136">
        <f t="shared" si="31"/>
        <v>0</v>
      </c>
      <c r="M227" s="136">
        <f t="shared" si="31"/>
        <v>0</v>
      </c>
      <c r="N227" s="136">
        <f t="shared" si="31"/>
        <v>0</v>
      </c>
      <c r="O227" s="136">
        <f t="shared" si="31"/>
        <v>0</v>
      </c>
      <c r="P227" s="136">
        <f t="shared" si="31"/>
        <v>0</v>
      </c>
      <c r="Q227" s="136">
        <f t="shared" si="31"/>
        <v>0</v>
      </c>
      <c r="R227" s="136">
        <f t="shared" si="31"/>
        <v>0</v>
      </c>
      <c r="S227" s="136">
        <f t="shared" si="31"/>
        <v>0</v>
      </c>
      <c r="T227" s="136">
        <f t="shared" si="31"/>
        <v>0</v>
      </c>
      <c r="U227" s="136">
        <f t="shared" si="31"/>
        <v>0</v>
      </c>
      <c r="V227" s="136">
        <f t="shared" si="31"/>
        <v>0</v>
      </c>
      <c r="W227" s="136">
        <f t="shared" si="31"/>
        <v>0</v>
      </c>
      <c r="X227" s="136">
        <f t="shared" si="31"/>
        <v>0</v>
      </c>
      <c r="Y227" s="136">
        <f t="shared" si="31"/>
        <v>0</v>
      </c>
      <c r="Z227" s="136">
        <f t="shared" si="31"/>
        <v>0</v>
      </c>
      <c r="AA227" s="136">
        <f t="shared" si="31"/>
        <v>0</v>
      </c>
      <c r="AB227" s="136">
        <f t="shared" si="31"/>
        <v>0</v>
      </c>
      <c r="AC227" s="136">
        <f t="shared" si="31"/>
        <v>0</v>
      </c>
      <c r="AD227" s="136">
        <f t="shared" si="31"/>
        <v>0</v>
      </c>
      <c r="AE227" s="136">
        <f t="shared" si="31"/>
        <v>0</v>
      </c>
      <c r="AF227" s="137">
        <f t="shared" si="31"/>
        <v>0</v>
      </c>
      <c r="AG227" s="138">
        <f t="shared" si="31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2">AF229</f>
        <v>0</v>
      </c>
      <c r="C229" s="140">
        <v>0.3</v>
      </c>
      <c r="D229" s="140">
        <f t="shared" ref="D229:P234" si="33">C229</f>
        <v>0.3</v>
      </c>
      <c r="E229" s="140">
        <f t="shared" si="33"/>
        <v>0.3</v>
      </c>
      <c r="F229" s="140">
        <f t="shared" si="33"/>
        <v>0.3</v>
      </c>
      <c r="G229" s="140">
        <f t="shared" si="33"/>
        <v>0.3</v>
      </c>
      <c r="H229" s="140">
        <f t="shared" si="33"/>
        <v>0.3</v>
      </c>
      <c r="I229" s="140">
        <f t="shared" si="33"/>
        <v>0.3</v>
      </c>
      <c r="J229" s="140">
        <f t="shared" si="33"/>
        <v>0.3</v>
      </c>
      <c r="K229" s="140">
        <f t="shared" si="33"/>
        <v>0.3</v>
      </c>
      <c r="L229" s="140">
        <f t="shared" si="33"/>
        <v>0.3</v>
      </c>
      <c r="M229" s="140">
        <f t="shared" si="33"/>
        <v>0.3</v>
      </c>
      <c r="N229" s="140">
        <f t="shared" si="33"/>
        <v>0.3</v>
      </c>
      <c r="O229" s="140">
        <f t="shared" si="33"/>
        <v>0.3</v>
      </c>
      <c r="P229" s="140">
        <f t="shared" si="33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2"/>
        <v>0</v>
      </c>
      <c r="C230" s="128">
        <v>0.4</v>
      </c>
      <c r="D230" s="128">
        <f t="shared" si="33"/>
        <v>0.4</v>
      </c>
      <c r="E230" s="128">
        <f t="shared" si="33"/>
        <v>0.4</v>
      </c>
      <c r="F230" s="128">
        <f t="shared" si="33"/>
        <v>0.4</v>
      </c>
      <c r="G230" s="128">
        <f t="shared" si="33"/>
        <v>0.4</v>
      </c>
      <c r="H230" s="128">
        <f t="shared" si="33"/>
        <v>0.4</v>
      </c>
      <c r="I230" s="128">
        <f t="shared" si="33"/>
        <v>0.4</v>
      </c>
      <c r="J230" s="128">
        <f t="shared" si="33"/>
        <v>0.4</v>
      </c>
      <c r="K230" s="128">
        <f t="shared" si="33"/>
        <v>0.4</v>
      </c>
      <c r="L230" s="128">
        <f t="shared" si="33"/>
        <v>0.4</v>
      </c>
      <c r="M230" s="128">
        <f t="shared" si="33"/>
        <v>0.4</v>
      </c>
      <c r="N230" s="128">
        <f t="shared" si="33"/>
        <v>0.4</v>
      </c>
      <c r="O230" s="128">
        <f t="shared" si="33"/>
        <v>0.4</v>
      </c>
      <c r="P230" s="128">
        <f t="shared" si="33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2"/>
        <v>0</v>
      </c>
      <c r="C231" s="128">
        <v>1.5</v>
      </c>
      <c r="D231" s="128">
        <f t="shared" si="33"/>
        <v>1.5</v>
      </c>
      <c r="E231" s="128">
        <f t="shared" si="33"/>
        <v>1.5</v>
      </c>
      <c r="F231" s="128">
        <f t="shared" si="33"/>
        <v>1.5</v>
      </c>
      <c r="G231" s="128">
        <f t="shared" si="33"/>
        <v>1.5</v>
      </c>
      <c r="H231" s="128">
        <f t="shared" si="33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3"/>
        <v>123.21900000000009</v>
      </c>
      <c r="K231" s="128">
        <f t="shared" ca="1" si="33"/>
        <v>123.21900000000009</v>
      </c>
      <c r="L231" s="128">
        <f t="shared" ca="1" si="33"/>
        <v>123.21900000000009</v>
      </c>
      <c r="M231" s="128">
        <f t="shared" ca="1" si="33"/>
        <v>119.19900000000008</v>
      </c>
      <c r="N231" s="128">
        <f t="shared" ca="1" si="33"/>
        <v>119.19900000000008</v>
      </c>
      <c r="O231" s="128">
        <f t="shared" ca="1" si="33"/>
        <v>119.19900000000008</v>
      </c>
      <c r="P231" s="128">
        <f t="shared" ca="1" si="33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2"/>
        <v>0</v>
      </c>
      <c r="C232" s="128">
        <v>0.3</v>
      </c>
      <c r="D232" s="128">
        <f t="shared" si="33"/>
        <v>0.3</v>
      </c>
      <c r="E232" s="128">
        <f t="shared" si="33"/>
        <v>0.3</v>
      </c>
      <c r="F232" s="128">
        <f t="shared" si="33"/>
        <v>0.3</v>
      </c>
      <c r="G232" s="128">
        <f t="shared" si="33"/>
        <v>0.3</v>
      </c>
      <c r="H232" s="128">
        <f t="shared" si="33"/>
        <v>0.3</v>
      </c>
      <c r="I232" s="128">
        <f t="shared" si="33"/>
        <v>0.3</v>
      </c>
      <c r="J232" s="128">
        <f t="shared" si="33"/>
        <v>0.3</v>
      </c>
      <c r="K232" s="128">
        <f t="shared" si="33"/>
        <v>0.3</v>
      </c>
      <c r="L232" s="128">
        <f t="shared" si="33"/>
        <v>0.3</v>
      </c>
      <c r="M232" s="128">
        <f t="shared" si="33"/>
        <v>0.3</v>
      </c>
      <c r="N232" s="128">
        <f t="shared" si="33"/>
        <v>0.3</v>
      </c>
      <c r="O232" s="128">
        <f t="shared" si="33"/>
        <v>0.3</v>
      </c>
      <c r="P232" s="128">
        <f t="shared" si="33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2"/>
        <v>0</v>
      </c>
      <c r="C233" s="128">
        <v>0.4</v>
      </c>
      <c r="D233" s="128">
        <f t="shared" si="33"/>
        <v>0.4</v>
      </c>
      <c r="E233" s="128">
        <f t="shared" si="33"/>
        <v>0.4</v>
      </c>
      <c r="F233" s="128">
        <f t="shared" si="33"/>
        <v>0.4</v>
      </c>
      <c r="G233" s="128">
        <f t="shared" si="33"/>
        <v>0.4</v>
      </c>
      <c r="H233" s="128">
        <f t="shared" si="33"/>
        <v>0.4</v>
      </c>
      <c r="I233" s="128">
        <f t="shared" si="33"/>
        <v>0.4</v>
      </c>
      <c r="J233" s="128">
        <f t="shared" si="33"/>
        <v>0.4</v>
      </c>
      <c r="K233" s="128">
        <f t="shared" si="33"/>
        <v>0.4</v>
      </c>
      <c r="L233" s="128">
        <f t="shared" si="33"/>
        <v>0.4</v>
      </c>
      <c r="M233" s="128">
        <f t="shared" si="33"/>
        <v>0.4</v>
      </c>
      <c r="N233" s="128">
        <f t="shared" si="33"/>
        <v>0.4</v>
      </c>
      <c r="O233" s="128">
        <f t="shared" si="33"/>
        <v>0.4</v>
      </c>
      <c r="P233" s="128">
        <f t="shared" si="33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2"/>
        <v>0</v>
      </c>
      <c r="C234" s="132">
        <v>0.64</v>
      </c>
      <c r="D234" s="132">
        <f t="shared" si="33"/>
        <v>0.64</v>
      </c>
      <c r="E234" s="132">
        <f t="shared" si="33"/>
        <v>0.64</v>
      </c>
      <c r="F234" s="132">
        <f t="shared" si="33"/>
        <v>0.64</v>
      </c>
      <c r="G234" s="132">
        <f t="shared" si="33"/>
        <v>0.64</v>
      </c>
      <c r="H234" s="132">
        <f t="shared" si="33"/>
        <v>0.64</v>
      </c>
      <c r="I234" s="132">
        <f t="shared" si="33"/>
        <v>0.64</v>
      </c>
      <c r="J234" s="132">
        <f t="shared" si="33"/>
        <v>0.64</v>
      </c>
      <c r="K234" s="132">
        <f t="shared" si="33"/>
        <v>0.64</v>
      </c>
      <c r="L234" s="132">
        <f t="shared" si="33"/>
        <v>0.64</v>
      </c>
      <c r="M234" s="132">
        <f t="shared" si="33"/>
        <v>0.64</v>
      </c>
      <c r="N234" s="132">
        <f t="shared" si="33"/>
        <v>0.64</v>
      </c>
      <c r="O234" s="132">
        <f t="shared" si="33"/>
        <v>0.64</v>
      </c>
      <c r="P234" s="132">
        <f t="shared" si="33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4">SUM(B229:B234)</f>
        <v>0</v>
      </c>
      <c r="C235" s="136">
        <f t="shared" si="34"/>
        <v>3.54</v>
      </c>
      <c r="D235" s="136">
        <f t="shared" si="34"/>
        <v>3.54</v>
      </c>
      <c r="E235" s="136">
        <f t="shared" si="34"/>
        <v>3.54</v>
      </c>
      <c r="F235" s="136">
        <f t="shared" si="34"/>
        <v>3.54</v>
      </c>
      <c r="G235" s="136">
        <f t="shared" si="34"/>
        <v>3.54</v>
      </c>
      <c r="H235" s="136">
        <f t="shared" si="34"/>
        <v>3.54</v>
      </c>
      <c r="I235" s="136">
        <f t="shared" ca="1" si="34"/>
        <v>121.23900000000009</v>
      </c>
      <c r="J235" s="136">
        <f t="shared" ca="1" si="34"/>
        <v>121.23900000000009</v>
      </c>
      <c r="K235" s="136">
        <f t="shared" ca="1" si="34"/>
        <v>121.23900000000009</v>
      </c>
      <c r="L235" s="136">
        <f t="shared" ca="1" si="34"/>
        <v>125.2590000000001</v>
      </c>
      <c r="M235" s="136">
        <f t="shared" ca="1" si="34"/>
        <v>121.23900000000009</v>
      </c>
      <c r="N235" s="136">
        <f t="shared" ca="1" si="34"/>
        <v>121.23900000000009</v>
      </c>
      <c r="O235" s="136">
        <f t="shared" ca="1" si="34"/>
        <v>121.23900000000009</v>
      </c>
      <c r="P235" s="136">
        <f t="shared" ca="1" si="34"/>
        <v>121.23900000000009</v>
      </c>
      <c r="Q235" s="136">
        <f t="shared" si="34"/>
        <v>0</v>
      </c>
      <c r="R235" s="136">
        <f t="shared" si="34"/>
        <v>0</v>
      </c>
      <c r="S235" s="136">
        <f t="shared" si="34"/>
        <v>0</v>
      </c>
      <c r="T235" s="136">
        <f t="shared" si="34"/>
        <v>0</v>
      </c>
      <c r="U235" s="136">
        <f t="shared" si="34"/>
        <v>0</v>
      </c>
      <c r="V235" s="136">
        <f t="shared" si="34"/>
        <v>0</v>
      </c>
      <c r="W235" s="136">
        <f t="shared" si="34"/>
        <v>0</v>
      </c>
      <c r="X235" s="136">
        <f t="shared" si="34"/>
        <v>0</v>
      </c>
      <c r="Y235" s="136">
        <f t="shared" si="34"/>
        <v>0</v>
      </c>
      <c r="Z235" s="136">
        <f t="shared" si="34"/>
        <v>0</v>
      </c>
      <c r="AA235" s="136">
        <f t="shared" si="34"/>
        <v>0</v>
      </c>
      <c r="AB235" s="136">
        <f t="shared" si="34"/>
        <v>0</v>
      </c>
      <c r="AC235" s="136">
        <f t="shared" si="34"/>
        <v>0</v>
      </c>
      <c r="AD235" s="136">
        <f t="shared" si="34"/>
        <v>0</v>
      </c>
      <c r="AE235" s="136">
        <f t="shared" si="34"/>
        <v>0</v>
      </c>
      <c r="AF235" s="136">
        <f t="shared" si="34"/>
        <v>0</v>
      </c>
      <c r="AG235" s="145">
        <f t="shared" si="34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1561.9999999999995</v>
      </c>
      <c r="C244" s="161">
        <f>INDEX(G9:N9,1,MATCH(MAX(G91:N91),G91:N91,0))</f>
        <v>0.20833333333333301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str">
        <f ca="1">"Pie Chart of Daily Peak Demand(Inclusive of Export) of Nepal ("&amp;A4&amp;" "&amp;B4&amp;")"</f>
        <v>Pie Chart of Daily Peak Demand(Inclusive of Export) of Nepal (Nepali Date: 2080/05/1)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5">B91</f>
        <v>2027.9999999999998</v>
      </c>
      <c r="U249" s="170">
        <f t="shared" si="35"/>
        <v>1998</v>
      </c>
      <c r="V249" s="170">
        <f t="shared" si="35"/>
        <v>1992</v>
      </c>
      <c r="W249" s="170">
        <f t="shared" si="35"/>
        <v>1993.9</v>
      </c>
      <c r="X249" s="170">
        <f t="shared" si="35"/>
        <v>1671.6999999999998</v>
      </c>
      <c r="Y249" s="170">
        <f t="shared" si="35"/>
        <v>1561.9999999999995</v>
      </c>
      <c r="Z249" s="170">
        <f t="shared" si="35"/>
        <v>1554.8999999999996</v>
      </c>
      <c r="AA249" s="170">
        <f t="shared" si="35"/>
        <v>1557.3999999999996</v>
      </c>
      <c r="AB249" s="170">
        <f t="shared" si="35"/>
        <v>1551.8999999999996</v>
      </c>
      <c r="AC249" s="170">
        <f t="shared" si="35"/>
        <v>1504.1</v>
      </c>
      <c r="AD249" s="170">
        <f t="shared" si="35"/>
        <v>1516.3</v>
      </c>
      <c r="AE249" s="170">
        <f t="shared" si="35"/>
        <v>1527.2</v>
      </c>
      <c r="AF249" s="170">
        <f t="shared" si="35"/>
        <v>1524.1999999999998</v>
      </c>
      <c r="AG249" s="170">
        <f t="shared" si="35"/>
        <v>1541.7999999999997</v>
      </c>
      <c r="AH249" s="170">
        <f t="shared" si="35"/>
        <v>1549.8000000000002</v>
      </c>
      <c r="AI249" s="170">
        <f t="shared" si="35"/>
        <v>1568</v>
      </c>
      <c r="AJ249" s="170">
        <f t="shared" si="35"/>
        <v>1536.5</v>
      </c>
      <c r="AK249" s="170">
        <f t="shared" si="35"/>
        <v>1550.5</v>
      </c>
      <c r="AL249" s="170">
        <f t="shared" si="35"/>
        <v>1545.8000000000002</v>
      </c>
      <c r="AM249" s="170">
        <f t="shared" si="35"/>
        <v>1540</v>
      </c>
      <c r="AN249" s="170">
        <f t="shared" si="35"/>
        <v>1509.8999999999999</v>
      </c>
      <c r="AO249" s="170">
        <f t="shared" si="35"/>
        <v>3.54</v>
      </c>
      <c r="AP249" s="170">
        <f t="shared" si="35"/>
        <v>3.54</v>
      </c>
      <c r="AQ249" s="170">
        <f t="shared" si="35"/>
        <v>3.54</v>
      </c>
      <c r="AR249" s="170">
        <f t="shared" si="35"/>
        <v>3.54</v>
      </c>
      <c r="AS249" s="170">
        <f t="shared" si="35"/>
        <v>3.54</v>
      </c>
      <c r="AT249" s="170">
        <f t="shared" si="35"/>
        <v>3.54</v>
      </c>
      <c r="AU249" s="170">
        <f t="shared" si="35"/>
        <v>3.54</v>
      </c>
      <c r="AV249" s="170">
        <f t="shared" si="35"/>
        <v>3.54</v>
      </c>
      <c r="AW249" s="170">
        <f t="shared" si="35"/>
        <v>3.54</v>
      </c>
      <c r="AX249" s="170">
        <f t="shared" si="35"/>
        <v>3.54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6">C234</f>
        <v>0.64</v>
      </c>
      <c r="C270" s="173">
        <f t="shared" si="36"/>
        <v>0.64</v>
      </c>
      <c r="D270" s="173">
        <f t="shared" si="36"/>
        <v>0.64</v>
      </c>
      <c r="E270" s="173">
        <f t="shared" si="36"/>
        <v>0.64</v>
      </c>
      <c r="F270" s="173">
        <f t="shared" si="36"/>
        <v>0.64</v>
      </c>
      <c r="G270" s="173">
        <f t="shared" si="36"/>
        <v>0.64</v>
      </c>
      <c r="H270" s="173">
        <f t="shared" si="36"/>
        <v>0.64</v>
      </c>
      <c r="I270" s="173">
        <f t="shared" si="36"/>
        <v>0.64</v>
      </c>
      <c r="J270" s="173">
        <f t="shared" si="36"/>
        <v>0.64</v>
      </c>
      <c r="K270" s="173">
        <f t="shared" si="36"/>
        <v>0.64</v>
      </c>
      <c r="L270" s="173">
        <f t="shared" si="36"/>
        <v>0.64</v>
      </c>
      <c r="M270" s="173">
        <f t="shared" si="36"/>
        <v>0.64</v>
      </c>
      <c r="N270" s="173">
        <f t="shared" si="36"/>
        <v>0.64</v>
      </c>
      <c r="O270" s="173">
        <f t="shared" si="36"/>
        <v>0.64</v>
      </c>
      <c r="P270" s="173">
        <f t="shared" si="36"/>
        <v>0</v>
      </c>
      <c r="Q270" s="173">
        <f t="shared" si="36"/>
        <v>0</v>
      </c>
      <c r="R270" s="173">
        <f t="shared" si="36"/>
        <v>0</v>
      </c>
      <c r="S270" s="173">
        <f t="shared" si="36"/>
        <v>0</v>
      </c>
      <c r="T270" s="173">
        <f t="shared" si="36"/>
        <v>0</v>
      </c>
      <c r="U270" s="173">
        <f t="shared" si="36"/>
        <v>0</v>
      </c>
      <c r="V270" s="173">
        <f t="shared" si="36"/>
        <v>0</v>
      </c>
      <c r="W270" s="173">
        <f t="shared" si="36"/>
        <v>0</v>
      </c>
      <c r="X270" s="173">
        <f t="shared" si="36"/>
        <v>0</v>
      </c>
      <c r="Y270" s="173">
        <f t="shared" si="36"/>
        <v>0</v>
      </c>
      <c r="Z270" s="173">
        <f t="shared" si="36"/>
        <v>0</v>
      </c>
      <c r="AA270" s="173">
        <f t="shared" si="36"/>
        <v>0</v>
      </c>
      <c r="AB270" s="173">
        <f t="shared" si="36"/>
        <v>0</v>
      </c>
      <c r="AC270" s="173">
        <f t="shared" si="36"/>
        <v>0</v>
      </c>
      <c r="AD270" s="173">
        <f t="shared" si="36"/>
        <v>0</v>
      </c>
      <c r="AE270" s="173">
        <f t="shared" si="36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7">IF(B238&lt;100,"",B238-520)</f>
        <v/>
      </c>
      <c r="C271" s="174" t="str">
        <f t="shared" si="37"/>
        <v/>
      </c>
      <c r="D271" s="174" t="str">
        <f t="shared" si="37"/>
        <v/>
      </c>
      <c r="E271" s="174" t="str">
        <f t="shared" si="37"/>
        <v/>
      </c>
      <c r="F271" s="174" t="str">
        <f t="shared" si="37"/>
        <v/>
      </c>
      <c r="G271" s="174" t="str">
        <f t="shared" si="37"/>
        <v/>
      </c>
      <c r="H271" s="174" t="str">
        <f t="shared" si="37"/>
        <v/>
      </c>
      <c r="I271" s="174" t="str">
        <f t="shared" si="37"/>
        <v/>
      </c>
      <c r="J271" s="174" t="str">
        <f t="shared" si="37"/>
        <v/>
      </c>
      <c r="K271" s="174" t="str">
        <f t="shared" si="37"/>
        <v/>
      </c>
      <c r="L271" s="174" t="str">
        <f t="shared" si="37"/>
        <v/>
      </c>
      <c r="M271" s="174" t="str">
        <f t="shared" si="37"/>
        <v/>
      </c>
      <c r="N271" s="174" t="str">
        <f t="shared" si="37"/>
        <v/>
      </c>
      <c r="O271" s="174" t="str">
        <f t="shared" si="37"/>
        <v/>
      </c>
      <c r="P271" s="174" t="str">
        <f t="shared" si="37"/>
        <v/>
      </c>
      <c r="Q271" s="174" t="str">
        <f t="shared" si="37"/>
        <v/>
      </c>
      <c r="R271" s="174" t="str">
        <f t="shared" si="37"/>
        <v/>
      </c>
      <c r="S271" s="174" t="str">
        <f t="shared" si="37"/>
        <v/>
      </c>
      <c r="T271" s="174" t="str">
        <f t="shared" si="37"/>
        <v/>
      </c>
      <c r="U271" s="174" t="str">
        <f t="shared" si="37"/>
        <v/>
      </c>
      <c r="V271" s="174" t="str">
        <f t="shared" si="37"/>
        <v/>
      </c>
      <c r="W271" s="174" t="str">
        <f t="shared" si="37"/>
        <v/>
      </c>
      <c r="X271" s="174" t="str">
        <f t="shared" si="37"/>
        <v/>
      </c>
      <c r="Y271" s="174" t="str">
        <f t="shared" si="37"/>
        <v/>
      </c>
      <c r="Z271" s="174" t="str">
        <f t="shared" si="37"/>
        <v/>
      </c>
      <c r="AA271" s="174" t="str">
        <f t="shared" si="37"/>
        <v/>
      </c>
      <c r="AB271" s="174" t="str">
        <f t="shared" si="37"/>
        <v/>
      </c>
      <c r="AC271" s="174" t="str">
        <f t="shared" si="37"/>
        <v/>
      </c>
      <c r="AD271" s="174" t="str">
        <f t="shared" si="37"/>
        <v/>
      </c>
      <c r="AE271" s="174" t="str">
        <f t="shared" si="37"/>
        <v/>
      </c>
      <c r="AF271" s="174" t="str">
        <f t="shared" si="37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8">IF(B239&lt;100,"",B239-620)</f>
        <v/>
      </c>
      <c r="C272" s="174" t="str">
        <f t="shared" si="38"/>
        <v/>
      </c>
      <c r="D272" s="174" t="str">
        <f t="shared" si="38"/>
        <v/>
      </c>
      <c r="E272" s="174" t="str">
        <f t="shared" si="38"/>
        <v/>
      </c>
      <c r="F272" s="174" t="str">
        <f t="shared" si="38"/>
        <v/>
      </c>
      <c r="G272" s="174" t="str">
        <f t="shared" si="38"/>
        <v/>
      </c>
      <c r="H272" s="174" t="str">
        <f t="shared" si="38"/>
        <v/>
      </c>
      <c r="I272" s="174" t="str">
        <f t="shared" si="38"/>
        <v/>
      </c>
      <c r="J272" s="174" t="str">
        <f t="shared" si="38"/>
        <v/>
      </c>
      <c r="K272" s="174" t="str">
        <f t="shared" si="38"/>
        <v/>
      </c>
      <c r="L272" s="174" t="str">
        <f t="shared" si="38"/>
        <v/>
      </c>
      <c r="M272" s="174" t="str">
        <f t="shared" si="38"/>
        <v/>
      </c>
      <c r="N272" s="174" t="str">
        <f t="shared" si="38"/>
        <v/>
      </c>
      <c r="O272" s="174" t="str">
        <f t="shared" si="38"/>
        <v/>
      </c>
      <c r="P272" s="174" t="str">
        <f t="shared" si="38"/>
        <v/>
      </c>
      <c r="Q272" s="174" t="str">
        <f t="shared" si="38"/>
        <v/>
      </c>
      <c r="R272" s="174" t="str">
        <f t="shared" si="38"/>
        <v/>
      </c>
      <c r="S272" s="174" t="str">
        <f t="shared" si="38"/>
        <v/>
      </c>
      <c r="T272" s="174" t="str">
        <f t="shared" si="38"/>
        <v/>
      </c>
      <c r="U272" s="174" t="str">
        <f t="shared" si="38"/>
        <v/>
      </c>
      <c r="V272" s="174" t="str">
        <f t="shared" si="38"/>
        <v/>
      </c>
      <c r="W272" s="174" t="str">
        <f t="shared" si="38"/>
        <v/>
      </c>
      <c r="X272" s="174" t="str">
        <f t="shared" si="38"/>
        <v/>
      </c>
      <c r="Y272" s="174" t="str">
        <f t="shared" si="38"/>
        <v/>
      </c>
      <c r="Z272" s="174" t="str">
        <f t="shared" si="38"/>
        <v/>
      </c>
      <c r="AA272" s="174" t="str">
        <f t="shared" si="38"/>
        <v/>
      </c>
      <c r="AB272" s="174" t="str">
        <f t="shared" si="38"/>
        <v/>
      </c>
      <c r="AC272" s="174" t="str">
        <f t="shared" si="38"/>
        <v/>
      </c>
      <c r="AD272" s="174" t="str">
        <f t="shared" si="38"/>
        <v/>
      </c>
      <c r="AE272" s="174" t="str">
        <f t="shared" si="38"/>
        <v/>
      </c>
      <c r="AF272" s="174" t="str">
        <f t="shared" si="38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9">IF(B240&lt;100,"",B240-330)</f>
        <v/>
      </c>
      <c r="C273" s="174" t="str">
        <f t="shared" si="39"/>
        <v/>
      </c>
      <c r="D273" s="174" t="str">
        <f t="shared" si="39"/>
        <v/>
      </c>
      <c r="E273" s="174" t="str">
        <f t="shared" si="39"/>
        <v/>
      </c>
      <c r="F273" s="174" t="str">
        <f t="shared" si="39"/>
        <v/>
      </c>
      <c r="G273" s="174" t="str">
        <f t="shared" si="39"/>
        <v/>
      </c>
      <c r="H273" s="174" t="str">
        <f t="shared" si="39"/>
        <v/>
      </c>
      <c r="I273" s="174" t="str">
        <f t="shared" si="39"/>
        <v/>
      </c>
      <c r="J273" s="174" t="str">
        <f t="shared" si="39"/>
        <v/>
      </c>
      <c r="K273" s="174" t="str">
        <f t="shared" si="39"/>
        <v/>
      </c>
      <c r="L273" s="174" t="str">
        <f t="shared" si="39"/>
        <v/>
      </c>
      <c r="M273" s="174" t="str">
        <f t="shared" si="39"/>
        <v/>
      </c>
      <c r="N273" s="174" t="str">
        <f t="shared" si="39"/>
        <v/>
      </c>
      <c r="O273" s="174" t="str">
        <f t="shared" si="39"/>
        <v/>
      </c>
      <c r="P273" s="174" t="str">
        <f t="shared" si="39"/>
        <v/>
      </c>
      <c r="Q273" s="174" t="str">
        <f t="shared" si="39"/>
        <v/>
      </c>
      <c r="R273" s="174" t="str">
        <f t="shared" si="39"/>
        <v/>
      </c>
      <c r="S273" s="174" t="str">
        <f t="shared" si="39"/>
        <v/>
      </c>
      <c r="T273" s="174" t="str">
        <f t="shared" si="39"/>
        <v/>
      </c>
      <c r="U273" s="174" t="str">
        <f t="shared" si="39"/>
        <v/>
      </c>
      <c r="V273" s="174" t="str">
        <f t="shared" si="39"/>
        <v/>
      </c>
      <c r="W273" s="174" t="str">
        <f t="shared" si="39"/>
        <v/>
      </c>
      <c r="X273" s="174" t="str">
        <f t="shared" si="39"/>
        <v/>
      </c>
      <c r="Y273" s="174" t="str">
        <f t="shared" si="39"/>
        <v/>
      </c>
      <c r="Z273" s="174" t="str">
        <f t="shared" si="39"/>
        <v/>
      </c>
      <c r="AA273" s="174" t="str">
        <f t="shared" si="39"/>
        <v/>
      </c>
      <c r="AB273" s="174" t="str">
        <f t="shared" si="39"/>
        <v/>
      </c>
      <c r="AC273" s="174" t="str">
        <f t="shared" si="39"/>
        <v/>
      </c>
      <c r="AD273" s="174" t="str">
        <f t="shared" si="39"/>
        <v/>
      </c>
      <c r="AE273" s="174" t="str">
        <f t="shared" si="39"/>
        <v/>
      </c>
      <c r="AF273" s="174" t="str">
        <f t="shared" si="39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40">IF(B241&lt;100,"",B241-1500)</f>
        <v/>
      </c>
      <c r="C274" s="174" t="str">
        <f t="shared" si="40"/>
        <v/>
      </c>
      <c r="D274" s="174" t="str">
        <f t="shared" si="40"/>
        <v/>
      </c>
      <c r="E274" s="174" t="str">
        <f t="shared" si="40"/>
        <v/>
      </c>
      <c r="F274" s="174" t="str">
        <f t="shared" si="40"/>
        <v/>
      </c>
      <c r="G274" s="174" t="str">
        <f t="shared" si="40"/>
        <v/>
      </c>
      <c r="H274" s="174" t="str">
        <f t="shared" si="40"/>
        <v/>
      </c>
      <c r="I274" s="174" t="str">
        <f t="shared" si="40"/>
        <v/>
      </c>
      <c r="J274" s="174" t="str">
        <f t="shared" si="40"/>
        <v/>
      </c>
      <c r="K274" s="174" t="str">
        <f t="shared" si="40"/>
        <v/>
      </c>
      <c r="L274" s="174" t="str">
        <f t="shared" si="40"/>
        <v/>
      </c>
      <c r="M274" s="174" t="str">
        <f t="shared" si="40"/>
        <v/>
      </c>
      <c r="N274" s="174" t="str">
        <f t="shared" si="40"/>
        <v/>
      </c>
      <c r="O274" s="174" t="str">
        <f t="shared" si="40"/>
        <v/>
      </c>
      <c r="P274" s="174" t="str">
        <f t="shared" si="40"/>
        <v/>
      </c>
      <c r="Q274" s="174" t="str">
        <f t="shared" si="40"/>
        <v/>
      </c>
      <c r="R274" s="174" t="str">
        <f t="shared" si="40"/>
        <v/>
      </c>
      <c r="S274" s="174" t="str">
        <f t="shared" si="40"/>
        <v/>
      </c>
      <c r="T274" s="174" t="str">
        <f t="shared" si="40"/>
        <v/>
      </c>
      <c r="U274" s="174" t="str">
        <f t="shared" si="40"/>
        <v/>
      </c>
      <c r="V274" s="174" t="str">
        <f t="shared" si="40"/>
        <v/>
      </c>
      <c r="W274" s="174" t="str">
        <f t="shared" si="40"/>
        <v/>
      </c>
      <c r="X274" s="174" t="str">
        <f t="shared" si="40"/>
        <v/>
      </c>
      <c r="Y274" s="174" t="str">
        <f t="shared" si="40"/>
        <v/>
      </c>
      <c r="Z274" s="174" t="str">
        <f t="shared" si="40"/>
        <v/>
      </c>
      <c r="AA274" s="174" t="str">
        <f t="shared" si="40"/>
        <v/>
      </c>
      <c r="AB274" s="174" t="str">
        <f t="shared" si="40"/>
        <v/>
      </c>
      <c r="AC274" s="174" t="str">
        <f t="shared" si="40"/>
        <v/>
      </c>
      <c r="AD274" s="174" t="str">
        <f t="shared" si="40"/>
        <v/>
      </c>
      <c r="AE274" s="174" t="str">
        <f t="shared" si="40"/>
        <v/>
      </c>
      <c r="AF274" s="174" t="str">
        <f t="shared" si="40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43" priority="64">
      <formula>$AH11=0</formula>
    </cfRule>
  </conditionalFormatting>
  <conditionalFormatting sqref="B8 M8 S8 AB8">
    <cfRule type="expression" dxfId="242" priority="115">
      <formula>AND(C$9&gt;=14/24,C$9&lt;20/24)</formula>
    </cfRule>
    <cfRule type="expression" dxfId="241" priority="116">
      <formula>AND(C$9&gt;=8/24,C$9&lt;14/24)</formula>
    </cfRule>
    <cfRule type="expression" dxfId="240" priority="117">
      <formula>C$9&lt;8/24</formula>
    </cfRule>
  </conditionalFormatting>
  <conditionalFormatting sqref="B54:C54">
    <cfRule type="expression" dxfId="239" priority="38">
      <formula>B$9&gt;=20/24</formula>
    </cfRule>
    <cfRule type="expression" dxfId="238" priority="39">
      <formula>AND(B$9&gt;=14/24,B$9&lt;20/24)</formula>
    </cfRule>
    <cfRule type="expression" dxfId="237" priority="40">
      <formula>AND(B$9&gt;=8/24,B$9&lt;14/24)</formula>
    </cfRule>
    <cfRule type="expression" dxfId="236" priority="41">
      <formula>B$9&lt;8/24</formula>
    </cfRule>
  </conditionalFormatting>
  <conditionalFormatting sqref="B54:C66 D55:E66 F60:J66 K61:V66">
    <cfRule type="expression" dxfId="235" priority="33">
      <formula>B54&gt;$AG54</formula>
    </cfRule>
  </conditionalFormatting>
  <conditionalFormatting sqref="B55:E59">
    <cfRule type="expression" dxfId="234" priority="60">
      <formula>B$9&gt;=20/24</formula>
    </cfRule>
    <cfRule type="expression" dxfId="233" priority="61">
      <formula>AND(B$9&gt;=14/24,B$9&lt;20/24)</formula>
    </cfRule>
    <cfRule type="expression" dxfId="232" priority="62">
      <formula>AND(B$9&gt;=8/24,B$9&lt;14/24)</formula>
    </cfRule>
    <cfRule type="expression" dxfId="231" priority="63">
      <formula>B$9&lt;8/24</formula>
    </cfRule>
  </conditionalFormatting>
  <conditionalFormatting sqref="B60:V60">
    <cfRule type="expression" dxfId="230" priority="51">
      <formula>B$9&gt;=20/24</formula>
    </cfRule>
    <cfRule type="expression" dxfId="229" priority="52">
      <formula>AND(B$9&gt;=14/24,B$9&lt;20/24)</formula>
    </cfRule>
    <cfRule type="expression" dxfId="228" priority="53">
      <formula>AND(B$9&gt;=8/24,B$9&lt;14/24)</formula>
    </cfRule>
    <cfRule type="expression" dxfId="227" priority="54">
      <formula>B$9&lt;8/24</formula>
    </cfRule>
  </conditionalFormatting>
  <conditionalFormatting sqref="B61:AD66">
    <cfRule type="expression" dxfId="226" priority="34">
      <formula>B$9&gt;=20/24</formula>
    </cfRule>
    <cfRule type="expression" dxfId="225" priority="35">
      <formula>AND(B$9&gt;=14/24,B$9&lt;20/24)</formula>
    </cfRule>
    <cfRule type="expression" dxfId="224" priority="36">
      <formula>AND(B$9&gt;=8/24,B$9&lt;14/24)</formula>
    </cfRule>
    <cfRule type="expression" dxfId="223" priority="37">
      <formula>B$9&lt;8/24</formula>
    </cfRule>
  </conditionalFormatting>
  <conditionalFormatting sqref="B9:AF45">
    <cfRule type="expression" dxfId="222" priority="23">
      <formula>B$9&gt;=20/24</formula>
    </cfRule>
    <cfRule type="expression" dxfId="221" priority="24">
      <formula>AND(B$9&gt;=14/24,B$9&lt;20/24)</formula>
    </cfRule>
    <cfRule type="expression" dxfId="220" priority="25">
      <formula>AND(B$9&gt;=8/24,B$9&lt;14/24)</formula>
    </cfRule>
    <cfRule type="expression" dxfId="219" priority="26">
      <formula>B$9&lt;8/24</formula>
    </cfRule>
  </conditionalFormatting>
  <conditionalFormatting sqref="B11:AF46">
    <cfRule type="expression" dxfId="218" priority="22">
      <formula>B11&gt;$AG11</formula>
    </cfRule>
  </conditionalFormatting>
  <conditionalFormatting sqref="B46:AF46">
    <cfRule type="expression" dxfId="217" priority="18">
      <formula>B$9&gt;=20/24</formula>
    </cfRule>
    <cfRule type="expression" dxfId="216" priority="19">
      <formula>AND(B$9&gt;=14/24,B$9&lt;20/24)</formula>
    </cfRule>
    <cfRule type="expression" dxfId="215" priority="20">
      <formula>AND(B$9&gt;=8/24,B$9&lt;14/24)</formula>
    </cfRule>
    <cfRule type="expression" dxfId="214" priority="21">
      <formula>B$9&lt;8/24</formula>
    </cfRule>
  </conditionalFormatting>
  <conditionalFormatting sqref="B47:AF47">
    <cfRule type="expression" dxfId="213" priority="32">
      <formula>B47&gt;$AG47</formula>
    </cfRule>
  </conditionalFormatting>
  <conditionalFormatting sqref="B47:AF49">
    <cfRule type="expression" dxfId="212" priority="28">
      <formula>B$9&gt;=20/24</formula>
    </cfRule>
    <cfRule type="expression" dxfId="211" priority="29">
      <formula>AND(B$9&gt;=14/24,B$9&lt;20/24)</formula>
    </cfRule>
    <cfRule type="expression" dxfId="210" priority="30">
      <formula>AND(B$9&gt;=8/24,B$9&lt;14/24)</formula>
    </cfRule>
    <cfRule type="expression" dxfId="209" priority="31">
      <formula>B$9&lt;8/24</formula>
    </cfRule>
  </conditionalFormatting>
  <conditionalFormatting sqref="B48:AF53">
    <cfRule type="expression" dxfId="208" priority="27">
      <formula>B48&gt;$AG48</formula>
    </cfRule>
  </conditionalFormatting>
  <conditionalFormatting sqref="B51:AF53">
    <cfRule type="expression" dxfId="207" priority="47">
      <formula>B$9&gt;=20/24</formula>
    </cfRule>
    <cfRule type="expression" dxfId="206" priority="48">
      <formula>AND(B$9&gt;=14/24,B$9&lt;20/24)</formula>
    </cfRule>
    <cfRule type="expression" dxfId="205" priority="49">
      <formula>AND(B$9&gt;=8/24,B$9&lt;14/24)</formula>
    </cfRule>
    <cfRule type="expression" dxfId="204" priority="50">
      <formula>B$9&lt;8/24</formula>
    </cfRule>
  </conditionalFormatting>
  <conditionalFormatting sqref="B69:AF71">
    <cfRule type="expression" dxfId="203" priority="55">
      <formula>B69&gt;$AG69</formula>
    </cfRule>
    <cfRule type="expression" dxfId="202" priority="56">
      <formula>B$9&gt;=20/24</formula>
    </cfRule>
    <cfRule type="expression" dxfId="201" priority="57">
      <formula>AND(B$9&gt;=14/24,B$9&lt;20/24)</formula>
    </cfRule>
    <cfRule type="expression" dxfId="200" priority="58">
      <formula>AND(B$9&gt;=8/24,B$9&lt;14/24)</formula>
    </cfRule>
    <cfRule type="expression" dxfId="199" priority="59">
      <formula>B$9&lt;8/24</formula>
    </cfRule>
  </conditionalFormatting>
  <conditionalFormatting sqref="B73:AF91">
    <cfRule type="expression" dxfId="198" priority="1">
      <formula>B$9&gt;=20/24</formula>
    </cfRule>
    <cfRule type="expression" dxfId="197" priority="2">
      <formula>AND(B$9&gt;=14/24,B$9&lt;20/24)</formula>
    </cfRule>
    <cfRule type="expression" dxfId="196" priority="3">
      <formula>AND(B$9&gt;=8/24,B$9&lt;14/24)</formula>
    </cfRule>
    <cfRule type="expression" dxfId="195" priority="4">
      <formula>B$9&lt;8/24</formula>
    </cfRule>
  </conditionalFormatting>
  <conditionalFormatting sqref="B111:AF120">
    <cfRule type="expression" dxfId="194" priority="14">
      <formula>B$9&gt;=20/24</formula>
    </cfRule>
    <cfRule type="expression" dxfId="193" priority="15">
      <formula>AND(B$9&gt;=14/24,B$9&lt;20/24)</formula>
    </cfRule>
    <cfRule type="expression" dxfId="192" priority="16">
      <formula>AND(B$9&gt;=8/24,B$9&lt;14/24)</formula>
    </cfRule>
    <cfRule type="expression" dxfId="191" priority="17">
      <formula>B$9&lt;8/24</formula>
    </cfRule>
  </conditionalFormatting>
  <conditionalFormatting sqref="B227:AF227 D229:AF230 B229:B235 D231:H231 J231:AF231 D232:AF235 U248:AF248">
    <cfRule type="expression" dxfId="190" priority="108">
      <formula>B$9&gt;=20/24</formula>
    </cfRule>
    <cfRule type="expression" dxfId="189" priority="109">
      <formula>AND(B$9&gt;=14/24,B$9&lt;20/24)</formula>
    </cfRule>
    <cfRule type="expression" dxfId="188" priority="110">
      <formula>AND(B$9&gt;=8/24,B$9&lt;14/24)</formula>
    </cfRule>
    <cfRule type="expression" dxfId="187" priority="111">
      <formula>B$9&lt;8/24</formula>
    </cfRule>
  </conditionalFormatting>
  <conditionalFormatting sqref="B67:AG68 B72:AG72">
    <cfRule type="expression" dxfId="186" priority="42">
      <formula>B67&gt;$AG67</formula>
    </cfRule>
  </conditionalFormatting>
  <conditionalFormatting sqref="B72:AG72 B93:AF109">
    <cfRule type="expression" dxfId="185" priority="43">
      <formula>B$9&gt;=20/24</formula>
    </cfRule>
    <cfRule type="expression" dxfId="184" priority="44">
      <formula>AND(B$9&gt;=14/24,B$9&lt;20/24)</formula>
    </cfRule>
    <cfRule type="expression" dxfId="183" priority="45">
      <formula>AND(B$9&gt;=8/24,B$9&lt;14/24)</formula>
    </cfRule>
    <cfRule type="expression" dxfId="182" priority="46">
      <formula>B$9&lt;8/24</formula>
    </cfRule>
  </conditionalFormatting>
  <conditionalFormatting sqref="F55:L59 K60:L66 M55:AF66">
    <cfRule type="expression" dxfId="181" priority="5">
      <formula>F55&gt;$AG55</formula>
    </cfRule>
  </conditionalFormatting>
  <conditionalFormatting sqref="D54:AG54">
    <cfRule type="expression" dxfId="180" priority="76">
      <formula>D54&gt;$AG54</formula>
    </cfRule>
    <cfRule type="expression" dxfId="179" priority="77">
      <formula>D$9&gt;=20/24</formula>
    </cfRule>
    <cfRule type="expression" dxfId="178" priority="78">
      <formula>AND(D$9&gt;=14/24,D$9&lt;20/24)</formula>
    </cfRule>
    <cfRule type="expression" dxfId="177" priority="79">
      <formula>AND(D$9&gt;=8/24,D$9&lt;14/24)</formula>
    </cfRule>
    <cfRule type="expression" dxfId="176" priority="80">
      <formula>D$9&lt;8/24</formula>
    </cfRule>
  </conditionalFormatting>
  <conditionalFormatting sqref="F55:M57">
    <cfRule type="expression" dxfId="175" priority="89">
      <formula>F$9&gt;=20/24</formula>
    </cfRule>
    <cfRule type="expression" dxfId="174" priority="90">
      <formula>AND(F$9&gt;=14/24,F$9&lt;20/24)</formula>
    </cfRule>
    <cfRule type="expression" dxfId="173" priority="91">
      <formula>AND(F$9&gt;=8/24,F$9&lt;14/24)</formula>
    </cfRule>
    <cfRule type="expression" dxfId="172" priority="92">
      <formula>F$9&lt;8/24</formula>
    </cfRule>
  </conditionalFormatting>
  <conditionalFormatting sqref="N55:S59 T55 T58:V59">
    <cfRule type="expression" dxfId="171" priority="93">
      <formula>N$9&gt;=20/24</formula>
    </cfRule>
    <cfRule type="expression" dxfId="170" priority="94">
      <formula>AND(N$9&gt;=14/24,N$9&lt;20/24)</formula>
    </cfRule>
    <cfRule type="expression" dxfId="169" priority="95">
      <formula>AND(N$9&gt;=8/24,N$9&lt;14/24)</formula>
    </cfRule>
    <cfRule type="expression" dxfId="168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67" priority="114">
      <formula>C$9&gt;=20/24</formula>
    </cfRule>
  </conditionalFormatting>
  <conditionalFormatting sqref="S8">
    <cfRule type="expression" dxfId="166" priority="101">
      <formula>U$9&gt;=20/24</formula>
    </cfRule>
    <cfRule type="expression" dxfId="165" priority="102">
      <formula>AND(U$9&gt;=14/24,U$9&lt;20/24)</formula>
    </cfRule>
    <cfRule type="expression" dxfId="164" priority="103">
      <formula>AND(U$9&gt;=8/24,U$9&lt;14/24)</formula>
    </cfRule>
    <cfRule type="expression" dxfId="163" priority="104">
      <formula>U$9&lt;8/24</formula>
    </cfRule>
  </conditionalFormatting>
  <conditionalFormatting sqref="S55:AF60">
    <cfRule type="expression" dxfId="162" priority="10">
      <formula>S$9&gt;=20/24</formula>
    </cfRule>
    <cfRule type="expression" dxfId="161" priority="11">
      <formula>AND(S$9&gt;=14/24,S$9&lt;20/24)</formula>
    </cfRule>
    <cfRule type="expression" dxfId="160" priority="12">
      <formula>AND(S$9&gt;=8/24,S$9&lt;14/24)</formula>
    </cfRule>
    <cfRule type="expression" dxfId="159" priority="13">
      <formula>S$9&lt;8/24</formula>
    </cfRule>
  </conditionalFormatting>
  <conditionalFormatting sqref="T248">
    <cfRule type="expression" dxfId="158" priority="126">
      <formula>AX$9&gt;=20/24</formula>
    </cfRule>
    <cfRule type="expression" dxfId="157" priority="127">
      <formula>AND(AX$9&gt;=14/24,AX$9&lt;20/24)</formula>
    </cfRule>
    <cfRule type="expression" dxfId="156" priority="128">
      <formula>AND(AX$9&gt;=8/24,AX$9&lt;14/24)</formula>
    </cfRule>
    <cfRule type="expression" dxfId="15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54" priority="97">
      <formula>AD$9&gt;=20/24</formula>
    </cfRule>
    <cfRule type="expression" dxfId="153" priority="98">
      <formula>AND(AD$9&gt;=14/24,AD$9&lt;20/24)</formula>
    </cfRule>
    <cfRule type="expression" dxfId="152" priority="99">
      <formula>AND(AD$9&gt;=8/24,AD$9&lt;14/24)</formula>
    </cfRule>
    <cfRule type="expression" dxfId="151" priority="100">
      <formula>AD$9&lt;8/24</formula>
    </cfRule>
  </conditionalFormatting>
  <conditionalFormatting sqref="AE61:AF66">
    <cfRule type="expression" dxfId="150" priority="6">
      <formula>AE$9&gt;=20/24</formula>
    </cfRule>
    <cfRule type="expression" dxfId="149" priority="7">
      <formula>AND(AE$9&gt;=14/24,AE$9&lt;20/24)</formula>
    </cfRule>
    <cfRule type="expression" dxfId="148" priority="8">
      <formula>AND(AE$9&gt;=8/24,AE$9&lt;14/24)</formula>
    </cfRule>
    <cfRule type="expression" dxfId="147" priority="9">
      <formula>AE$9&lt;8/24</formula>
    </cfRule>
  </conditionalFormatting>
  <conditionalFormatting sqref="AG50">
    <cfRule type="expression" dxfId="146" priority="84">
      <formula>AG50&gt;$AG50</formula>
    </cfRule>
  </conditionalFormatting>
  <conditionalFormatting sqref="AG89">
    <cfRule type="expression" dxfId="145" priority="85">
      <formula>AG$9&gt;=20/24</formula>
    </cfRule>
    <cfRule type="expression" dxfId="144" priority="86">
      <formula>AND(AG$9&gt;=14/24,AG$9&lt;20/24)</formula>
    </cfRule>
    <cfRule type="expression" dxfId="143" priority="87">
      <formula>AND(AG$9&gt;=8/24,AG$9&lt;14/24)</formula>
    </cfRule>
    <cfRule type="expression" dxfId="142" priority="88">
      <formula>AG$9&lt;8/24</formula>
    </cfRule>
  </conditionalFormatting>
  <conditionalFormatting sqref="AG248">
    <cfRule type="expression" dxfId="141" priority="118">
      <formula>B$9&gt;=20/24</formula>
    </cfRule>
    <cfRule type="expression" dxfId="140" priority="119">
      <formula>AND(B$9&gt;=14/24,B$9&lt;20/24)</formula>
    </cfRule>
    <cfRule type="expression" dxfId="139" priority="120">
      <formula>AND(B$9&gt;=8/24,B$9&lt;14/24)</formula>
    </cfRule>
    <cfRule type="expression" dxfId="138" priority="121">
      <formula>B$9&lt;8/24</formula>
    </cfRule>
  </conditionalFormatting>
  <conditionalFormatting sqref="AH248:AX248">
    <cfRule type="expression" dxfId="137" priority="122">
      <formula>AG$9&gt;=20/24</formula>
    </cfRule>
    <cfRule type="expression" dxfId="136" priority="123">
      <formula>AND(AG$9&gt;=14/24,AG$9&lt;20/24)</formula>
    </cfRule>
    <cfRule type="expression" dxfId="135" priority="124">
      <formula>AND(AG$9&gt;=8/24,AG$9&lt;14/24)</formula>
    </cfRule>
    <cfRule type="expression" dxfId="13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33" priority="131">
      <formula>AJ$9&gt;=20/24</formula>
    </cfRule>
    <cfRule type="expression" dxfId="132" priority="132">
      <formula>AND(AJ$9&gt;=14/24,AJ$9&lt;20/24)</formula>
    </cfRule>
    <cfRule type="expression" dxfId="131" priority="133">
      <formula>AND(AJ$9&gt;=8/24,AJ$9&lt;14/24)</formula>
    </cfRule>
    <cfRule type="expression" dxfId="130" priority="134">
      <formula>AJ$9&lt;8/24</formula>
    </cfRule>
  </conditionalFormatting>
  <conditionalFormatting sqref="AL80:AN80 AL86:AN86">
    <cfRule type="expression" dxfId="129" priority="72">
      <formula>AL$9&gt;=20/24</formula>
    </cfRule>
    <cfRule type="expression" dxfId="128" priority="73">
      <formula>AND(AL$9&gt;=14/24,AL$9&lt;20/24)</formula>
    </cfRule>
    <cfRule type="expression" dxfId="127" priority="74">
      <formula>AND(AL$9&gt;=8/24,AL$9&lt;14/24)</formula>
    </cfRule>
    <cfRule type="expression" dxfId="126" priority="75">
      <formula>AL$9&lt;8/24</formula>
    </cfRule>
  </conditionalFormatting>
  <conditionalFormatting sqref="AN81:AN84">
    <cfRule type="expression" dxfId="125" priority="68">
      <formula>AN$9&gt;=20/24</formula>
    </cfRule>
    <cfRule type="expression" dxfId="124" priority="69">
      <formula>AND(AN$9&gt;=14/24,AN$9&lt;20/24)</formula>
    </cfRule>
    <cfRule type="expression" dxfId="123" priority="70">
      <formula>AND(AN$9&gt;=8/24,AN$9&lt;14/24)</formula>
    </cfRule>
    <cfRule type="expression" dxfId="12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46A8-D3D0-4410-9673-C4D89332B04A}">
  <sheetPr codeName="Sheet21"/>
  <dimension ref="A1:CJ281"/>
  <sheetViews>
    <sheetView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V19" sqref="V1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2" t="s">
        <v>1</v>
      </c>
      <c r="AH1" s="202"/>
      <c r="AI1" s="202"/>
      <c r="AL1" s="2"/>
    </row>
    <row r="2" spans="1:88" ht="20.25" x14ac:dyDescent="0.25">
      <c r="A2" s="3"/>
      <c r="B2" s="203" t="s">
        <v>2</v>
      </c>
      <c r="C2" s="4"/>
      <c r="D2" s="205" t="s">
        <v>3</v>
      </c>
      <c r="E2" s="4"/>
      <c r="F2" s="205" t="s">
        <v>4</v>
      </c>
      <c r="G2" s="4"/>
      <c r="H2" s="205" t="s">
        <v>5</v>
      </c>
      <c r="I2" s="5"/>
      <c r="J2" s="207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4"/>
      <c r="C3" s="16"/>
      <c r="D3" s="206"/>
      <c r="E3" s="16"/>
      <c r="F3" s="206"/>
      <c r="G3" s="16"/>
      <c r="H3" s="206"/>
      <c r="I3" s="17"/>
      <c r="J3" s="207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196" t="e">
        <f ca="1">"2080/"&amp;"05/"&amp;INT(MID(CELL("filename",D6),FIND("]",CELL("filename",D6))+1,200))</f>
        <v>#VALUE!</v>
      </c>
      <c r="C4" s="196"/>
      <c r="D4" s="196"/>
      <c r="E4" s="197" t="e">
        <f ca="1">"2080/"&amp;"05/"&amp;INT(MID(CELL("filename",G6),FIND("]",CELL("filename",G6))+1,200))</f>
        <v>#VALUE!</v>
      </c>
      <c r="F4" s="197"/>
      <c r="G4" s="197"/>
      <c r="H4" s="197" t="e">
        <f ca="1">TEXT(E4,"dddd")</f>
        <v>#VALUE!</v>
      </c>
      <c r="I4" s="197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4MW at 4:60hr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303.54000000000002</v>
      </c>
      <c r="C7" s="35">
        <f t="shared" si="1"/>
        <v>3.54</v>
      </c>
      <c r="D7" s="35">
        <f t="shared" si="1"/>
        <v>3.54</v>
      </c>
      <c r="E7" s="35">
        <f t="shared" si="1"/>
        <v>3.54</v>
      </c>
      <c r="F7" s="35">
        <f t="shared" si="1"/>
        <v>3.54</v>
      </c>
      <c r="G7" s="35">
        <f t="shared" si="1"/>
        <v>3.54</v>
      </c>
      <c r="H7" s="35">
        <f t="shared" si="1"/>
        <v>3.54</v>
      </c>
      <c r="I7" s="35">
        <f t="shared" si="1"/>
        <v>3.54</v>
      </c>
      <c r="J7" s="35">
        <f t="shared" si="1"/>
        <v>3.54</v>
      </c>
      <c r="K7" s="35">
        <f t="shared" si="1"/>
        <v>3.54</v>
      </c>
      <c r="L7" s="35">
        <f t="shared" si="1"/>
        <v>3.54</v>
      </c>
      <c r="M7" s="35">
        <f t="shared" si="1"/>
        <v>3.54</v>
      </c>
      <c r="N7" s="35">
        <f>N91</f>
        <v>3.54</v>
      </c>
      <c r="O7" s="35">
        <f t="shared" si="1"/>
        <v>3.54</v>
      </c>
      <c r="P7" s="35">
        <f t="shared" si="1"/>
        <v>3.54</v>
      </c>
      <c r="Q7" s="35">
        <f t="shared" si="1"/>
        <v>3.54</v>
      </c>
      <c r="R7" s="35">
        <f t="shared" si="1"/>
        <v>3.54</v>
      </c>
      <c r="S7" s="35">
        <f t="shared" si="1"/>
        <v>3.54</v>
      </c>
      <c r="T7" s="35">
        <f t="shared" si="1"/>
        <v>3.54</v>
      </c>
      <c r="U7" s="35">
        <f t="shared" si="1"/>
        <v>3.54</v>
      </c>
      <c r="V7" s="35">
        <f t="shared" si="1"/>
        <v>3.54</v>
      </c>
      <c r="W7" s="35">
        <f t="shared" si="1"/>
        <v>3.54</v>
      </c>
      <c r="X7" s="35">
        <f t="shared" si="1"/>
        <v>3.54</v>
      </c>
      <c r="Y7" s="35">
        <f t="shared" si="1"/>
        <v>3.54</v>
      </c>
      <c r="Z7" s="35">
        <f t="shared" si="1"/>
        <v>3.54</v>
      </c>
      <c r="AA7" s="35">
        <f t="shared" si="1"/>
        <v>3.54</v>
      </c>
      <c r="AB7" s="35">
        <f t="shared" si="1"/>
        <v>3.54</v>
      </c>
      <c r="AC7" s="35">
        <f t="shared" si="1"/>
        <v>3.54</v>
      </c>
      <c r="AD7" s="35">
        <f t="shared" si="1"/>
        <v>3.54</v>
      </c>
      <c r="AE7" s="35">
        <f t="shared" si="1"/>
        <v>3.54</v>
      </c>
      <c r="AF7" s="35">
        <f t="shared" si="1"/>
        <v>3.54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198" t="s">
        <v>14</v>
      </c>
      <c r="C8" s="199"/>
      <c r="D8" s="199"/>
      <c r="E8" s="199"/>
      <c r="F8" s="199"/>
      <c r="G8" s="199"/>
      <c r="H8" s="199"/>
      <c r="I8" s="199"/>
      <c r="J8" s="199"/>
      <c r="K8" s="199"/>
      <c r="L8" s="200"/>
      <c r="M8" s="191" t="s">
        <v>15</v>
      </c>
      <c r="N8" s="192"/>
      <c r="O8" s="192"/>
      <c r="P8" s="192"/>
      <c r="Q8" s="192"/>
      <c r="R8" s="193"/>
      <c r="S8" s="191" t="s">
        <v>16</v>
      </c>
      <c r="T8" s="192"/>
      <c r="U8" s="192"/>
      <c r="V8" s="192"/>
      <c r="W8" s="192"/>
      <c r="X8" s="192"/>
      <c r="Y8" s="192"/>
      <c r="Z8" s="192"/>
      <c r="AA8" s="193"/>
      <c r="AB8" s="191" t="s">
        <v>17</v>
      </c>
      <c r="AC8" s="192"/>
      <c r="AD8" s="192"/>
      <c r="AE8" s="192"/>
      <c r="AF8" s="193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4" t="s">
        <v>18</v>
      </c>
      <c r="B9" s="190">
        <v>0</v>
      </c>
      <c r="C9" s="190">
        <v>4.1666666666666664E-2</v>
      </c>
      <c r="D9" s="190">
        <v>8.3333333333333301E-2</v>
      </c>
      <c r="E9" s="190">
        <v>0.125</v>
      </c>
      <c r="F9" s="190">
        <v>0.16666666666666699</v>
      </c>
      <c r="G9" s="190">
        <v>0.20833333333333301</v>
      </c>
      <c r="H9" s="190">
        <v>0.22916666666666666</v>
      </c>
      <c r="I9" s="190">
        <v>0.25</v>
      </c>
      <c r="J9" s="190">
        <v>0.27083333333333331</v>
      </c>
      <c r="K9" s="190">
        <v>0.29166666666666669</v>
      </c>
      <c r="L9" s="190">
        <v>0.3125</v>
      </c>
      <c r="M9" s="188">
        <v>0.33333333333333331</v>
      </c>
      <c r="N9" s="188">
        <v>0.375</v>
      </c>
      <c r="O9" s="188">
        <v>0.41666666666666702</v>
      </c>
      <c r="P9" s="188">
        <v>0.45833333333333298</v>
      </c>
      <c r="Q9" s="188">
        <v>0.5</v>
      </c>
      <c r="R9" s="188">
        <v>0.54166666666666696</v>
      </c>
      <c r="S9" s="184">
        <v>0.58333333333333304</v>
      </c>
      <c r="T9" s="184">
        <v>0.625</v>
      </c>
      <c r="U9" s="184">
        <v>0.66666666666666696</v>
      </c>
      <c r="V9" s="184">
        <v>0.70833333333333304</v>
      </c>
      <c r="W9" s="184">
        <v>0.72916666666666663</v>
      </c>
      <c r="X9" s="184">
        <v>0.75</v>
      </c>
      <c r="Y9" s="184">
        <v>0.77083333333333337</v>
      </c>
      <c r="Z9" s="184">
        <v>0.79166666666666663</v>
      </c>
      <c r="AA9" s="184">
        <v>0.8125</v>
      </c>
      <c r="AB9" s="184">
        <v>0.83333333333333337</v>
      </c>
      <c r="AC9" s="184">
        <v>0.85416666666666663</v>
      </c>
      <c r="AD9" s="184">
        <v>0.875</v>
      </c>
      <c r="AE9" s="184">
        <v>0.91666666666666696</v>
      </c>
      <c r="AF9" s="184">
        <v>0.95833333333333304</v>
      </c>
      <c r="AG9" s="186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19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9"/>
      <c r="N10" s="189"/>
      <c r="O10" s="189"/>
      <c r="P10" s="189"/>
      <c r="Q10" s="189"/>
      <c r="R10" s="189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7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6">
        <v>86</v>
      </c>
      <c r="AH11" s="47">
        <f t="shared" ref="AH11:AH76" si="2">MAX(B11:AF11)</f>
        <v>0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9">
        <v>54</v>
      </c>
      <c r="AH12" s="47">
        <f t="shared" si="2"/>
        <v>0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6">
        <v>52.4</v>
      </c>
      <c r="AH13" s="47">
        <f t="shared" si="2"/>
        <v>0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45"/>
      <c r="AA14" s="45"/>
      <c r="AB14" s="45"/>
      <c r="AC14" s="45"/>
      <c r="AD14" s="45"/>
      <c r="AE14" s="45"/>
      <c r="AF14" s="45"/>
      <c r="AG14" s="49">
        <v>50</v>
      </c>
      <c r="AH14" s="47">
        <f t="shared" si="2"/>
        <v>0</v>
      </c>
      <c r="AI14" s="48">
        <f t="shared" si="3"/>
        <v>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9">
        <v>45</v>
      </c>
      <c r="AH15" s="47">
        <f t="shared" si="2"/>
        <v>0</v>
      </c>
      <c r="AI15" s="48">
        <f t="shared" si="3"/>
        <v>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9">
        <v>42</v>
      </c>
      <c r="AH17" s="47">
        <f t="shared" si="2"/>
        <v>0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9">
        <v>38.46</v>
      </c>
      <c r="AH18" s="47">
        <f t="shared" si="2"/>
        <v>0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51">
        <v>30</v>
      </c>
      <c r="AH20" s="47">
        <f t="shared" si="2"/>
        <v>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9">
        <v>24.2</v>
      </c>
      <c r="AH21" s="47">
        <f t="shared" si="2"/>
        <v>0</v>
      </c>
      <c r="AI21" s="48">
        <f t="shared" si="3"/>
        <v>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9">
        <v>28</v>
      </c>
      <c r="AH22" s="47">
        <f t="shared" si="2"/>
        <v>0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51">
        <v>30</v>
      </c>
      <c r="AH23" s="47">
        <f t="shared" si="2"/>
        <v>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9">
        <v>25</v>
      </c>
      <c r="AH24" s="47">
        <f t="shared" si="2"/>
        <v>0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9">
        <v>25</v>
      </c>
      <c r="AH26" s="47">
        <f t="shared" si="2"/>
        <v>0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9">
        <v>25</v>
      </c>
      <c r="AH27" s="47">
        <f t="shared" si="2"/>
        <v>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9">
        <v>23.5</v>
      </c>
      <c r="AH28" s="47">
        <f t="shared" si="2"/>
        <v>0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9">
        <v>22.2</v>
      </c>
      <c r="AH29" s="47">
        <f t="shared" si="2"/>
        <v>0</v>
      </c>
      <c r="AI29" s="48">
        <f t="shared" si="3"/>
        <v>0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9">
        <v>22.1</v>
      </c>
      <c r="AH30" s="47">
        <f t="shared" si="2"/>
        <v>0</v>
      </c>
      <c r="AI30" s="48">
        <f t="shared" si="3"/>
        <v>0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9">
        <v>22</v>
      </c>
      <c r="AH31" s="47">
        <f t="shared" si="2"/>
        <v>0</v>
      </c>
      <c r="AI31" s="48">
        <f t="shared" si="3"/>
        <v>0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9">
        <v>22</v>
      </c>
      <c r="AH32" s="47">
        <f t="shared" si="2"/>
        <v>0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9">
        <v>20</v>
      </c>
      <c r="AH33" s="47">
        <f t="shared" si="2"/>
        <v>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9">
        <v>18</v>
      </c>
      <c r="AH34" s="47">
        <f t="shared" si="2"/>
        <v>0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9">
        <v>14.9</v>
      </c>
      <c r="AH35" s="47">
        <f t="shared" si="2"/>
        <v>0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9">
        <v>13</v>
      </c>
      <c r="AH38" s="47">
        <f t="shared" si="2"/>
        <v>0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9">
        <v>12</v>
      </c>
      <c r="AH39" s="47">
        <f t="shared" si="2"/>
        <v>0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9">
        <v>12</v>
      </c>
      <c r="AH40" s="47">
        <f t="shared" si="2"/>
        <v>0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52">
        <v>22</v>
      </c>
      <c r="AH42" s="47">
        <f t="shared" si="2"/>
        <v>0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51">
        <v>11.88</v>
      </c>
      <c r="AH43" s="47">
        <f t="shared" si="2"/>
        <v>0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54">
        <v>10</v>
      </c>
      <c r="AH45" s="47">
        <f t="shared" si="2"/>
        <v>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54">
        <v>10</v>
      </c>
      <c r="AH46" s="47">
        <f t="shared" si="2"/>
        <v>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4">
        <v>85</v>
      </c>
      <c r="AH48" s="47">
        <f t="shared" si="2"/>
        <v>0</v>
      </c>
      <c r="AI48" s="48">
        <f t="shared" si="3"/>
        <v>0</v>
      </c>
      <c r="AK48" s="50"/>
    </row>
    <row r="49" spans="1:41" ht="15.75" thickBot="1" x14ac:dyDescent="0.3">
      <c r="A49" s="57" t="s">
        <v>57</v>
      </c>
      <c r="B49" s="56"/>
      <c r="C49" s="56"/>
      <c r="D49" s="56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6"/>
      <c r="Y49" s="56"/>
      <c r="Z49" s="56"/>
      <c r="AA49" s="56"/>
      <c r="AB49" s="56"/>
      <c r="AC49" s="56"/>
      <c r="AD49" s="56"/>
      <c r="AE49" s="56"/>
      <c r="AF49" s="56"/>
      <c r="AG49" s="54">
        <v>240</v>
      </c>
      <c r="AH49" s="47">
        <f t="shared" si="2"/>
        <v>0</v>
      </c>
      <c r="AI49" s="48">
        <f t="shared" si="3"/>
        <v>0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0</v>
      </c>
      <c r="C50" s="60">
        <f t="shared" si="4"/>
        <v>0</v>
      </c>
      <c r="D50" s="60">
        <f t="shared" si="4"/>
        <v>0</v>
      </c>
      <c r="E50" s="60">
        <f t="shared" si="4"/>
        <v>0</v>
      </c>
      <c r="F50" s="60">
        <f t="shared" si="4"/>
        <v>0</v>
      </c>
      <c r="G50" s="60">
        <f t="shared" si="4"/>
        <v>0</v>
      </c>
      <c r="H50" s="60">
        <f t="shared" si="4"/>
        <v>0</v>
      </c>
      <c r="I50" s="60">
        <f t="shared" si="4"/>
        <v>0</v>
      </c>
      <c r="J50" s="60">
        <f t="shared" si="4"/>
        <v>0</v>
      </c>
      <c r="K50" s="60">
        <f t="shared" si="4"/>
        <v>0</v>
      </c>
      <c r="L50" s="60">
        <f t="shared" si="4"/>
        <v>0</v>
      </c>
      <c r="M50" s="60">
        <f t="shared" si="4"/>
        <v>0</v>
      </c>
      <c r="N50" s="60">
        <f t="shared" si="4"/>
        <v>0</v>
      </c>
      <c r="O50" s="60">
        <f t="shared" si="4"/>
        <v>0</v>
      </c>
      <c r="P50" s="60">
        <f t="shared" si="4"/>
        <v>0</v>
      </c>
      <c r="Q50" s="60">
        <f t="shared" si="4"/>
        <v>0</v>
      </c>
      <c r="R50" s="60">
        <f t="shared" si="4"/>
        <v>0</v>
      </c>
      <c r="S50" s="60">
        <f t="shared" si="4"/>
        <v>0</v>
      </c>
      <c r="T50" s="60">
        <f t="shared" si="4"/>
        <v>0</v>
      </c>
      <c r="U50" s="60">
        <f t="shared" si="4"/>
        <v>0</v>
      </c>
      <c r="V50" s="60">
        <f t="shared" si="4"/>
        <v>0</v>
      </c>
      <c r="W50" s="60">
        <f t="shared" si="4"/>
        <v>0</v>
      </c>
      <c r="X50" s="60">
        <f t="shared" si="4"/>
        <v>0</v>
      </c>
      <c r="Y50" s="60">
        <f t="shared" si="4"/>
        <v>0</v>
      </c>
      <c r="Z50" s="60">
        <f t="shared" si="4"/>
        <v>0</v>
      </c>
      <c r="AA50" s="60">
        <f t="shared" si="4"/>
        <v>0</v>
      </c>
      <c r="AB50" s="60">
        <f t="shared" si="4"/>
        <v>0</v>
      </c>
      <c r="AC50" s="60">
        <f t="shared" si="4"/>
        <v>0</v>
      </c>
      <c r="AD50" s="60">
        <f t="shared" si="4"/>
        <v>0</v>
      </c>
      <c r="AE50" s="60">
        <f t="shared" si="4"/>
        <v>0</v>
      </c>
      <c r="AF50" s="60">
        <f t="shared" si="4"/>
        <v>0</v>
      </c>
      <c r="AG50" s="61">
        <f>SUM(AG13:AG48)</f>
        <v>922.14</v>
      </c>
      <c r="AH50" s="47">
        <f t="shared" si="2"/>
        <v>0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300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175"/>
      <c r="O51" s="175"/>
      <c r="P51" s="175"/>
      <c r="Q51" s="175"/>
      <c r="R51" s="17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51">
        <v>456</v>
      </c>
      <c r="AH51" s="47">
        <f t="shared" si="2"/>
        <v>300</v>
      </c>
      <c r="AI51" s="48">
        <f t="shared" si="3"/>
        <v>300</v>
      </c>
      <c r="AK51" s="50"/>
    </row>
    <row r="52" spans="1:41" x14ac:dyDescent="0.25">
      <c r="A52" s="63" t="s">
        <v>60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54">
        <v>60</v>
      </c>
      <c r="AH52" s="47">
        <f t="shared" si="2"/>
        <v>0</v>
      </c>
      <c r="AI52" s="48">
        <f t="shared" si="3"/>
        <v>0</v>
      </c>
      <c r="AK52" s="50"/>
    </row>
    <row r="53" spans="1:41" ht="15.75" thickBot="1" x14ac:dyDescent="0.3">
      <c r="A53" s="65" t="s">
        <v>61</v>
      </c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7">
        <v>22.1</v>
      </c>
      <c r="AH53" s="47">
        <f t="shared" si="2"/>
        <v>0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300</v>
      </c>
      <c r="C54" s="60">
        <f t="shared" si="5"/>
        <v>0</v>
      </c>
      <c r="D54" s="60">
        <f t="shared" si="5"/>
        <v>0</v>
      </c>
      <c r="E54" s="60">
        <f t="shared" si="5"/>
        <v>0</v>
      </c>
      <c r="F54" s="60">
        <f t="shared" si="5"/>
        <v>0</v>
      </c>
      <c r="G54" s="60">
        <f t="shared" si="5"/>
        <v>0</v>
      </c>
      <c r="H54" s="60">
        <f t="shared" si="5"/>
        <v>0</v>
      </c>
      <c r="I54" s="60">
        <f t="shared" si="5"/>
        <v>0</v>
      </c>
      <c r="J54" s="60">
        <f t="shared" si="5"/>
        <v>0</v>
      </c>
      <c r="K54" s="60">
        <f t="shared" si="5"/>
        <v>0</v>
      </c>
      <c r="L54" s="60">
        <f t="shared" si="5"/>
        <v>0</v>
      </c>
      <c r="M54" s="60">
        <f t="shared" si="5"/>
        <v>0</v>
      </c>
      <c r="N54" s="60">
        <f t="shared" si="5"/>
        <v>0</v>
      </c>
      <c r="O54" s="60">
        <f t="shared" si="5"/>
        <v>0</v>
      </c>
      <c r="P54" s="60">
        <f t="shared" si="5"/>
        <v>0</v>
      </c>
      <c r="Q54" s="60">
        <f t="shared" si="5"/>
        <v>0</v>
      </c>
      <c r="R54" s="60">
        <f t="shared" si="5"/>
        <v>0</v>
      </c>
      <c r="S54" s="60">
        <f t="shared" si="5"/>
        <v>0</v>
      </c>
      <c r="T54" s="60">
        <f t="shared" si="5"/>
        <v>0</v>
      </c>
      <c r="U54" s="60">
        <f t="shared" si="5"/>
        <v>0</v>
      </c>
      <c r="V54" s="60">
        <f t="shared" si="5"/>
        <v>0</v>
      </c>
      <c r="W54" s="60">
        <f t="shared" si="5"/>
        <v>0</v>
      </c>
      <c r="X54" s="60">
        <f t="shared" si="5"/>
        <v>0</v>
      </c>
      <c r="Y54" s="60">
        <f t="shared" si="5"/>
        <v>0</v>
      </c>
      <c r="Z54" s="60">
        <f t="shared" si="5"/>
        <v>0</v>
      </c>
      <c r="AA54" s="60">
        <f t="shared" si="5"/>
        <v>0</v>
      </c>
      <c r="AB54" s="60">
        <f t="shared" si="5"/>
        <v>0</v>
      </c>
      <c r="AC54" s="60">
        <f t="shared" si="5"/>
        <v>0</v>
      </c>
      <c r="AD54" s="60">
        <f t="shared" si="5"/>
        <v>0</v>
      </c>
      <c r="AE54" s="60">
        <f t="shared" si="5"/>
        <v>0</v>
      </c>
      <c r="AF54" s="60">
        <f t="shared" si="5"/>
        <v>0</v>
      </c>
      <c r="AG54" s="61">
        <f t="shared" si="5"/>
        <v>538.1</v>
      </c>
      <c r="AH54" s="47">
        <f t="shared" si="2"/>
        <v>300</v>
      </c>
      <c r="AI54" s="48">
        <f t="shared" si="3"/>
        <v>0</v>
      </c>
      <c r="AK54" s="50"/>
    </row>
    <row r="55" spans="1:41" x14ac:dyDescent="0.25">
      <c r="A55" s="44" t="s">
        <v>63</v>
      </c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51">
        <v>144</v>
      </c>
      <c r="AH55" s="47">
        <f t="shared" si="2"/>
        <v>0</v>
      </c>
      <c r="AI55" s="48">
        <f t="shared" si="3"/>
        <v>0</v>
      </c>
      <c r="AK55" s="50"/>
    </row>
    <row r="56" spans="1:41" x14ac:dyDescent="0.25">
      <c r="A56" s="53" t="s">
        <v>64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64"/>
      <c r="AE56" s="45"/>
      <c r="AF56" s="45"/>
      <c r="AG56" s="54">
        <v>70</v>
      </c>
      <c r="AH56" s="47">
        <f t="shared" si="2"/>
        <v>0</v>
      </c>
      <c r="AI56" s="48">
        <f t="shared" si="3"/>
        <v>0</v>
      </c>
      <c r="AK56" s="50"/>
    </row>
    <row r="57" spans="1:41" x14ac:dyDescent="0.25">
      <c r="A57" s="53" t="s">
        <v>65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64"/>
      <c r="AE57" s="45"/>
      <c r="AF57" s="45"/>
      <c r="AG57" s="54">
        <v>69</v>
      </c>
      <c r="AH57" s="47">
        <f t="shared" si="2"/>
        <v>0</v>
      </c>
      <c r="AI57" s="48">
        <f t="shared" si="3"/>
        <v>0</v>
      </c>
      <c r="AK57" s="50"/>
    </row>
    <row r="58" spans="1:41" x14ac:dyDescent="0.25">
      <c r="A58" s="53" t="s">
        <v>66</v>
      </c>
      <c r="B58" s="64"/>
      <c r="C58" s="64"/>
      <c r="D58" s="64"/>
      <c r="E58" s="56"/>
      <c r="F58" s="56"/>
      <c r="G58" s="56"/>
      <c r="H58" s="56"/>
      <c r="I58" s="56"/>
      <c r="J58" s="56"/>
      <c r="K58" s="56"/>
      <c r="L58" s="56"/>
      <c r="M58" s="64"/>
      <c r="N58" s="64"/>
      <c r="O58" s="64"/>
      <c r="P58" s="64"/>
      <c r="Q58" s="64"/>
      <c r="R58" s="64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64"/>
      <c r="AE58" s="45"/>
      <c r="AF58" s="45"/>
      <c r="AG58" s="54">
        <v>60</v>
      </c>
      <c r="AH58" s="47">
        <f t="shared" si="2"/>
        <v>0</v>
      </c>
      <c r="AI58" s="48">
        <f t="shared" si="3"/>
        <v>0</v>
      </c>
      <c r="AK58" s="50"/>
    </row>
    <row r="59" spans="1:41" x14ac:dyDescent="0.25">
      <c r="A59" s="53" t="s">
        <v>67</v>
      </c>
      <c r="B59" s="64"/>
      <c r="C59" s="64"/>
      <c r="D59" s="64"/>
      <c r="E59" s="56"/>
      <c r="F59" s="56"/>
      <c r="G59" s="56"/>
      <c r="H59" s="56"/>
      <c r="I59" s="56"/>
      <c r="J59" s="56"/>
      <c r="K59" s="56"/>
      <c r="L59" s="56"/>
      <c r="M59" s="64"/>
      <c r="N59" s="64"/>
      <c r="O59" s="64"/>
      <c r="P59" s="64"/>
      <c r="Q59" s="64"/>
      <c r="R59" s="64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64"/>
      <c r="AE59" s="45"/>
      <c r="AF59" s="45"/>
      <c r="AG59" s="54">
        <v>30</v>
      </c>
      <c r="AH59" s="47">
        <f t="shared" si="2"/>
        <v>0</v>
      </c>
      <c r="AI59" s="48">
        <f t="shared" si="3"/>
        <v>0</v>
      </c>
      <c r="AK59" s="50"/>
    </row>
    <row r="60" spans="1:41" x14ac:dyDescent="0.25">
      <c r="A60" s="53" t="s">
        <v>68</v>
      </c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64"/>
      <c r="AE60" s="45"/>
      <c r="AF60" s="45"/>
      <c r="AG60" s="54">
        <v>25</v>
      </c>
      <c r="AH60" s="47">
        <f t="shared" si="2"/>
        <v>0</v>
      </c>
      <c r="AI60" s="48">
        <f t="shared" si="3"/>
        <v>0</v>
      </c>
      <c r="AK60" s="50"/>
    </row>
    <row r="61" spans="1:41" x14ac:dyDescent="0.25">
      <c r="A61" s="53" t="s">
        <v>69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54">
        <v>24</v>
      </c>
      <c r="AH61" s="47">
        <f t="shared" si="2"/>
        <v>0</v>
      </c>
      <c r="AI61" s="48">
        <f t="shared" si="3"/>
        <v>0</v>
      </c>
      <c r="AK61" s="50"/>
    </row>
    <row r="62" spans="1:41" x14ac:dyDescent="0.25">
      <c r="A62" s="53" t="s">
        <v>70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54">
        <v>15</v>
      </c>
      <c r="AH62" s="47">
        <f t="shared" si="2"/>
        <v>0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54">
        <v>14.1</v>
      </c>
      <c r="AH63" s="47">
        <f t="shared" si="2"/>
        <v>0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54">
        <v>14</v>
      </c>
      <c r="AH64" s="47">
        <f t="shared" si="2"/>
        <v>0</v>
      </c>
      <c r="AI64" s="48">
        <f t="shared" si="3"/>
        <v>0</v>
      </c>
      <c r="AK64" s="50"/>
    </row>
    <row r="65" spans="1:40" x14ac:dyDescent="0.25">
      <c r="A65" s="53" t="s">
        <v>73</v>
      </c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54">
        <v>10.050000000000001</v>
      </c>
      <c r="AH65" s="47">
        <f t="shared" si="2"/>
        <v>0</v>
      </c>
      <c r="AI65" s="48">
        <f t="shared" si="3"/>
        <v>0</v>
      </c>
      <c r="AK65" s="50"/>
    </row>
    <row r="66" spans="1:40" x14ac:dyDescent="0.25">
      <c r="A66" s="53" t="s">
        <v>74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54">
        <v>6.2</v>
      </c>
      <c r="AH66" s="47">
        <f t="shared" si="2"/>
        <v>0</v>
      </c>
      <c r="AI66" s="48">
        <f t="shared" si="3"/>
        <v>0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3.54</v>
      </c>
      <c r="C68" s="60">
        <f t="shared" si="6"/>
        <v>3.54</v>
      </c>
      <c r="D68" s="60">
        <f t="shared" si="6"/>
        <v>3.54</v>
      </c>
      <c r="E68" s="60">
        <f t="shared" si="6"/>
        <v>3.54</v>
      </c>
      <c r="F68" s="60">
        <f t="shared" si="6"/>
        <v>3.54</v>
      </c>
      <c r="G68" s="60">
        <f t="shared" si="6"/>
        <v>3.54</v>
      </c>
      <c r="H68" s="60">
        <f t="shared" si="6"/>
        <v>3.54</v>
      </c>
      <c r="I68" s="60">
        <f t="shared" si="6"/>
        <v>3.54</v>
      </c>
      <c r="J68" s="60">
        <f t="shared" si="6"/>
        <v>3.54</v>
      </c>
      <c r="K68" s="60">
        <f t="shared" si="6"/>
        <v>3.54</v>
      </c>
      <c r="L68" s="60">
        <f t="shared" si="6"/>
        <v>3.54</v>
      </c>
      <c r="M68" s="60">
        <f t="shared" si="6"/>
        <v>3.54</v>
      </c>
      <c r="N68" s="60">
        <f t="shared" si="6"/>
        <v>3.54</v>
      </c>
      <c r="O68" s="60">
        <f t="shared" si="6"/>
        <v>3.54</v>
      </c>
      <c r="P68" s="60">
        <f t="shared" si="6"/>
        <v>3.54</v>
      </c>
      <c r="Q68" s="60">
        <f t="shared" si="6"/>
        <v>3.54</v>
      </c>
      <c r="R68" s="60">
        <f t="shared" si="6"/>
        <v>3.54</v>
      </c>
      <c r="S68" s="60">
        <f t="shared" si="6"/>
        <v>3.54</v>
      </c>
      <c r="T68" s="60">
        <f t="shared" si="6"/>
        <v>3.54</v>
      </c>
      <c r="U68" s="60">
        <f t="shared" si="6"/>
        <v>3.54</v>
      </c>
      <c r="V68" s="60">
        <f t="shared" si="6"/>
        <v>3.54</v>
      </c>
      <c r="W68" s="60">
        <f t="shared" si="6"/>
        <v>3.54</v>
      </c>
      <c r="X68" s="60">
        <f t="shared" si="6"/>
        <v>3.54</v>
      </c>
      <c r="Y68" s="60">
        <f t="shared" si="6"/>
        <v>3.54</v>
      </c>
      <c r="Z68" s="60">
        <f t="shared" si="6"/>
        <v>3.54</v>
      </c>
      <c r="AA68" s="60">
        <f t="shared" si="6"/>
        <v>3.54</v>
      </c>
      <c r="AB68" s="60">
        <f t="shared" si="6"/>
        <v>3.54</v>
      </c>
      <c r="AC68" s="60">
        <f t="shared" si="6"/>
        <v>3.54</v>
      </c>
      <c r="AD68" s="60">
        <f t="shared" si="6"/>
        <v>3.54</v>
      </c>
      <c r="AE68" s="60">
        <f t="shared" si="6"/>
        <v>3.54</v>
      </c>
      <c r="AF68" s="60">
        <f t="shared" si="6"/>
        <v>3.54</v>
      </c>
      <c r="AG68" s="61">
        <f t="shared" si="6"/>
        <v>489.91</v>
      </c>
      <c r="AH68" s="47">
        <f t="shared" si="2"/>
        <v>3.54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51"/>
      <c r="AH73" s="47">
        <f t="shared" si="2"/>
        <v>0</v>
      </c>
      <c r="AI73" s="48">
        <f t="shared" si="3"/>
        <v>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74"/>
      <c r="AH75" s="47">
        <f t="shared" si="2"/>
        <v>0</v>
      </c>
      <c r="AI75" s="48">
        <f t="shared" si="3"/>
        <v>0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0">SUMIF(B73:B83,"&gt;0")</f>
        <v>0</v>
      </c>
      <c r="C84" s="60">
        <f t="shared" si="10"/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>
        <f t="shared" si="10"/>
        <v>0</v>
      </c>
      <c r="AC84" s="60">
        <f t="shared" si="10"/>
        <v>0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0</v>
      </c>
      <c r="AI84" s="48">
        <f t="shared" si="9"/>
        <v>0</v>
      </c>
      <c r="AK84" s="85"/>
      <c r="AL84" s="76"/>
      <c r="AM84" s="88"/>
      <c r="AN84" s="181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2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303.54000000000002</v>
      </c>
      <c r="C89" s="94">
        <f t="shared" si="11"/>
        <v>3.54</v>
      </c>
      <c r="D89" s="94">
        <f t="shared" si="11"/>
        <v>3.54</v>
      </c>
      <c r="E89" s="94">
        <f t="shared" si="11"/>
        <v>3.54</v>
      </c>
      <c r="F89" s="94">
        <f t="shared" si="11"/>
        <v>3.54</v>
      </c>
      <c r="G89" s="94">
        <f t="shared" si="11"/>
        <v>3.54</v>
      </c>
      <c r="H89" s="94">
        <f t="shared" si="11"/>
        <v>3.54</v>
      </c>
      <c r="I89" s="94">
        <f t="shared" si="11"/>
        <v>3.54</v>
      </c>
      <c r="J89" s="94">
        <f t="shared" si="11"/>
        <v>3.54</v>
      </c>
      <c r="K89" s="94">
        <f t="shared" si="11"/>
        <v>3.54</v>
      </c>
      <c r="L89" s="94">
        <f t="shared" si="11"/>
        <v>3.54</v>
      </c>
      <c r="M89" s="94">
        <f t="shared" si="11"/>
        <v>3.54</v>
      </c>
      <c r="N89" s="94">
        <f t="shared" si="11"/>
        <v>3.54</v>
      </c>
      <c r="O89" s="94">
        <f t="shared" si="11"/>
        <v>3.54</v>
      </c>
      <c r="P89" s="94">
        <f t="shared" si="11"/>
        <v>3.54</v>
      </c>
      <c r="Q89" s="94">
        <f t="shared" si="11"/>
        <v>3.54</v>
      </c>
      <c r="R89" s="94">
        <f t="shared" si="11"/>
        <v>3.54</v>
      </c>
      <c r="S89" s="94">
        <f t="shared" si="11"/>
        <v>3.54</v>
      </c>
      <c r="T89" s="94">
        <f t="shared" si="11"/>
        <v>3.54</v>
      </c>
      <c r="U89" s="94">
        <f t="shared" si="11"/>
        <v>3.54</v>
      </c>
      <c r="V89" s="94">
        <f t="shared" si="11"/>
        <v>3.54</v>
      </c>
      <c r="W89" s="94">
        <f t="shared" si="11"/>
        <v>3.54</v>
      </c>
      <c r="X89" s="94">
        <f t="shared" si="11"/>
        <v>3.54</v>
      </c>
      <c r="Y89" s="94">
        <f t="shared" si="11"/>
        <v>3.54</v>
      </c>
      <c r="Z89" s="94">
        <f t="shared" si="11"/>
        <v>3.54</v>
      </c>
      <c r="AA89" s="94">
        <f t="shared" si="11"/>
        <v>3.54</v>
      </c>
      <c r="AB89" s="94">
        <f t="shared" si="11"/>
        <v>3.54</v>
      </c>
      <c r="AC89" s="94">
        <f t="shared" si="11"/>
        <v>3.54</v>
      </c>
      <c r="AD89" s="94">
        <f t="shared" si="11"/>
        <v>3.54</v>
      </c>
      <c r="AE89" s="94">
        <f t="shared" si="11"/>
        <v>3.54</v>
      </c>
      <c r="AF89" s="94">
        <f t="shared" si="11"/>
        <v>3.54</v>
      </c>
      <c r="AG89" s="61">
        <f t="shared" si="11"/>
        <v>2111.5500000000002</v>
      </c>
      <c r="AH89" s="47">
        <f t="shared" si="8"/>
        <v>303.54000000000002</v>
      </c>
      <c r="AI89" s="48">
        <f t="shared" si="9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303.54000000000002</v>
      </c>
      <c r="C91" s="94">
        <f t="shared" si="12"/>
        <v>3.54</v>
      </c>
      <c r="D91" s="94">
        <f t="shared" si="12"/>
        <v>3.54</v>
      </c>
      <c r="E91" s="94">
        <f t="shared" si="12"/>
        <v>3.54</v>
      </c>
      <c r="F91" s="94">
        <f t="shared" si="12"/>
        <v>3.54</v>
      </c>
      <c r="G91" s="94">
        <f t="shared" si="12"/>
        <v>3.54</v>
      </c>
      <c r="H91" s="94">
        <f t="shared" si="12"/>
        <v>3.54</v>
      </c>
      <c r="I91" s="94">
        <f t="shared" si="12"/>
        <v>3.54</v>
      </c>
      <c r="J91" s="94">
        <f t="shared" si="12"/>
        <v>3.54</v>
      </c>
      <c r="K91" s="94">
        <f t="shared" si="12"/>
        <v>3.54</v>
      </c>
      <c r="L91" s="94">
        <f t="shared" si="12"/>
        <v>3.54</v>
      </c>
      <c r="M91" s="94">
        <f t="shared" si="12"/>
        <v>3.54</v>
      </c>
      <c r="N91" s="94">
        <f t="shared" si="12"/>
        <v>3.54</v>
      </c>
      <c r="O91" s="94">
        <f t="shared" si="12"/>
        <v>3.54</v>
      </c>
      <c r="P91" s="94">
        <f t="shared" si="12"/>
        <v>3.54</v>
      </c>
      <c r="Q91" s="94">
        <f t="shared" si="12"/>
        <v>3.54</v>
      </c>
      <c r="R91" s="94">
        <f t="shared" si="12"/>
        <v>3.54</v>
      </c>
      <c r="S91" s="94">
        <f t="shared" si="12"/>
        <v>3.54</v>
      </c>
      <c r="T91" s="94">
        <f t="shared" si="12"/>
        <v>3.54</v>
      </c>
      <c r="U91" s="94">
        <f t="shared" si="12"/>
        <v>3.54</v>
      </c>
      <c r="V91" s="94">
        <f t="shared" si="12"/>
        <v>3.54</v>
      </c>
      <c r="W91" s="94">
        <f t="shared" si="12"/>
        <v>3.54</v>
      </c>
      <c r="X91" s="94">
        <f t="shared" si="12"/>
        <v>3.54</v>
      </c>
      <c r="Y91" s="94">
        <f t="shared" si="12"/>
        <v>3.54</v>
      </c>
      <c r="Z91" s="94">
        <f t="shared" si="12"/>
        <v>3.54</v>
      </c>
      <c r="AA91" s="94">
        <f t="shared" si="12"/>
        <v>3.54</v>
      </c>
      <c r="AB91" s="94">
        <f t="shared" si="12"/>
        <v>3.54</v>
      </c>
      <c r="AC91" s="94">
        <f t="shared" si="12"/>
        <v>3.54</v>
      </c>
      <c r="AD91" s="94">
        <f t="shared" si="12"/>
        <v>3.54</v>
      </c>
      <c r="AE91" s="94">
        <f t="shared" si="12"/>
        <v>3.54</v>
      </c>
      <c r="AF91" s="94">
        <f t="shared" si="12"/>
        <v>3.54</v>
      </c>
      <c r="AG91" s="87">
        <f>AG88+AG84+AG72+AG68+AG50+AG90</f>
        <v>1573.45</v>
      </c>
      <c r="AH91" s="47">
        <f t="shared" si="8"/>
        <v>303.54000000000002</v>
      </c>
      <c r="AI91" s="48">
        <f t="shared" si="9"/>
        <v>3.54</v>
      </c>
    </row>
    <row r="92" spans="1:40" ht="15.75" thickBot="1" x14ac:dyDescent="0.3">
      <c r="A92" s="73" t="s">
        <v>103</v>
      </c>
      <c r="B92" s="94">
        <f>B91-(-B99)</f>
        <v>303.54000000000002</v>
      </c>
      <c r="C92" s="94">
        <f t="shared" ref="C92:AF92" si="13">C91-(-C99)</f>
        <v>3.54</v>
      </c>
      <c r="D92" s="94">
        <f t="shared" si="13"/>
        <v>3.54</v>
      </c>
      <c r="E92" s="94">
        <f t="shared" si="13"/>
        <v>3.54</v>
      </c>
      <c r="F92" s="94">
        <f t="shared" si="13"/>
        <v>3.54</v>
      </c>
      <c r="G92" s="94">
        <f t="shared" si="13"/>
        <v>3.54</v>
      </c>
      <c r="H92" s="94">
        <f t="shared" si="13"/>
        <v>3.54</v>
      </c>
      <c r="I92" s="94">
        <f t="shared" si="13"/>
        <v>3.54</v>
      </c>
      <c r="J92" s="94">
        <f t="shared" si="13"/>
        <v>3.54</v>
      </c>
      <c r="K92" s="94">
        <f t="shared" si="13"/>
        <v>3.54</v>
      </c>
      <c r="L92" s="94">
        <f t="shared" si="13"/>
        <v>3.54</v>
      </c>
      <c r="M92" s="94">
        <f t="shared" si="13"/>
        <v>3.54</v>
      </c>
      <c r="N92" s="94">
        <f t="shared" si="13"/>
        <v>3.54</v>
      </c>
      <c r="O92" s="94">
        <f t="shared" si="13"/>
        <v>3.54</v>
      </c>
      <c r="P92" s="94">
        <f t="shared" si="13"/>
        <v>3.54</v>
      </c>
      <c r="Q92" s="94">
        <f t="shared" si="13"/>
        <v>3.54</v>
      </c>
      <c r="R92" s="94">
        <f t="shared" si="13"/>
        <v>3.54</v>
      </c>
      <c r="S92" s="94">
        <f t="shared" si="13"/>
        <v>3.54</v>
      </c>
      <c r="T92" s="94">
        <f t="shared" si="13"/>
        <v>3.54</v>
      </c>
      <c r="U92" s="94">
        <f t="shared" si="13"/>
        <v>3.54</v>
      </c>
      <c r="V92" s="94">
        <f t="shared" si="13"/>
        <v>3.54</v>
      </c>
      <c r="W92" s="94">
        <f t="shared" si="13"/>
        <v>3.54</v>
      </c>
      <c r="X92" s="94">
        <f t="shared" si="13"/>
        <v>3.54</v>
      </c>
      <c r="Y92" s="94">
        <f t="shared" si="13"/>
        <v>3.54</v>
      </c>
      <c r="Z92" s="94">
        <f t="shared" si="13"/>
        <v>3.54</v>
      </c>
      <c r="AA92" s="94">
        <f t="shared" si="13"/>
        <v>3.54</v>
      </c>
      <c r="AB92" s="94">
        <f t="shared" si="13"/>
        <v>3.54</v>
      </c>
      <c r="AC92" s="94">
        <f t="shared" si="13"/>
        <v>3.54</v>
      </c>
      <c r="AD92" s="94">
        <f t="shared" si="13"/>
        <v>3.54</v>
      </c>
      <c r="AE92" s="94">
        <f t="shared" si="13"/>
        <v>3.54</v>
      </c>
      <c r="AF92" s="94">
        <f t="shared" si="13"/>
        <v>3.54</v>
      </c>
      <c r="AG92" s="87"/>
      <c r="AH92" s="47">
        <f t="shared" si="8"/>
        <v>303.54000000000002</v>
      </c>
      <c r="AI92" s="48">
        <f t="shared" si="9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0</v>
      </c>
      <c r="C99" s="60">
        <f t="shared" ref="C99:AF99" si="14">C75</f>
        <v>0</v>
      </c>
      <c r="D99" s="60">
        <f t="shared" si="14"/>
        <v>0</v>
      </c>
      <c r="E99" s="60">
        <f t="shared" si="14"/>
        <v>0</v>
      </c>
      <c r="F99" s="60">
        <f t="shared" si="14"/>
        <v>0</v>
      </c>
      <c r="G99" s="60">
        <f t="shared" si="14"/>
        <v>0</v>
      </c>
      <c r="H99" s="60">
        <f t="shared" si="14"/>
        <v>0</v>
      </c>
      <c r="I99" s="60">
        <f t="shared" si="14"/>
        <v>0</v>
      </c>
      <c r="J99" s="60">
        <f t="shared" si="14"/>
        <v>0</v>
      </c>
      <c r="K99" s="60">
        <f t="shared" si="14"/>
        <v>0</v>
      </c>
      <c r="L99" s="60">
        <f t="shared" si="14"/>
        <v>0</v>
      </c>
      <c r="M99" s="60">
        <f t="shared" si="14"/>
        <v>0</v>
      </c>
      <c r="N99" s="60">
        <f t="shared" si="14"/>
        <v>0</v>
      </c>
      <c r="O99" s="60">
        <f t="shared" si="14"/>
        <v>0</v>
      </c>
      <c r="P99" s="60">
        <f t="shared" si="14"/>
        <v>0</v>
      </c>
      <c r="Q99" s="60">
        <f t="shared" si="14"/>
        <v>0</v>
      </c>
      <c r="R99" s="60">
        <f t="shared" si="14"/>
        <v>0</v>
      </c>
      <c r="S99" s="60">
        <f t="shared" si="14"/>
        <v>0</v>
      </c>
      <c r="T99" s="60">
        <f t="shared" si="14"/>
        <v>0</v>
      </c>
      <c r="U99" s="60">
        <f t="shared" si="14"/>
        <v>0</v>
      </c>
      <c r="V99" s="60">
        <f t="shared" si="14"/>
        <v>0</v>
      </c>
      <c r="W99" s="60">
        <f t="shared" si="14"/>
        <v>0</v>
      </c>
      <c r="X99" s="60">
        <f t="shared" si="14"/>
        <v>0</v>
      </c>
      <c r="Y99" s="60">
        <f t="shared" si="14"/>
        <v>0</v>
      </c>
      <c r="Z99" s="60">
        <f t="shared" si="14"/>
        <v>0</v>
      </c>
      <c r="AA99" s="60">
        <f t="shared" si="14"/>
        <v>0</v>
      </c>
      <c r="AB99" s="60">
        <f t="shared" si="14"/>
        <v>0</v>
      </c>
      <c r="AC99" s="60">
        <f t="shared" si="14"/>
        <v>0</v>
      </c>
      <c r="AD99" s="60">
        <f t="shared" si="14"/>
        <v>0</v>
      </c>
      <c r="AE99" s="60">
        <f t="shared" si="14"/>
        <v>0</v>
      </c>
      <c r="AF99" s="60">
        <f t="shared" si="14"/>
        <v>0</v>
      </c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 t="shared" ref="B100:AF100" si="15">B84-B99</f>
        <v>0</v>
      </c>
      <c r="C100" s="60">
        <f t="shared" si="15"/>
        <v>0</v>
      </c>
      <c r="D100" s="60">
        <f t="shared" si="15"/>
        <v>0</v>
      </c>
      <c r="E100" s="60">
        <f t="shared" si="15"/>
        <v>0</v>
      </c>
      <c r="F100" s="60">
        <f t="shared" si="15"/>
        <v>0</v>
      </c>
      <c r="G100" s="60">
        <f t="shared" si="15"/>
        <v>0</v>
      </c>
      <c r="H100" s="60">
        <f t="shared" si="15"/>
        <v>0</v>
      </c>
      <c r="I100" s="60">
        <f t="shared" si="15"/>
        <v>0</v>
      </c>
      <c r="J100" s="60">
        <f t="shared" si="15"/>
        <v>0</v>
      </c>
      <c r="K100" s="60">
        <f t="shared" si="15"/>
        <v>0</v>
      </c>
      <c r="L100" s="60">
        <f t="shared" si="15"/>
        <v>0</v>
      </c>
      <c r="M100" s="60">
        <f t="shared" si="15"/>
        <v>0</v>
      </c>
      <c r="N100" s="60">
        <f t="shared" si="15"/>
        <v>0</v>
      </c>
      <c r="O100" s="60">
        <f t="shared" si="15"/>
        <v>0</v>
      </c>
      <c r="P100" s="60">
        <f t="shared" si="15"/>
        <v>0</v>
      </c>
      <c r="Q100" s="60">
        <f t="shared" si="15"/>
        <v>0</v>
      </c>
      <c r="R100" s="60">
        <f t="shared" si="15"/>
        <v>0</v>
      </c>
      <c r="S100" s="60">
        <f t="shared" si="15"/>
        <v>0</v>
      </c>
      <c r="T100" s="60">
        <f t="shared" si="15"/>
        <v>0</v>
      </c>
      <c r="U100" s="60">
        <f t="shared" si="15"/>
        <v>0</v>
      </c>
      <c r="V100" s="60">
        <f t="shared" si="15"/>
        <v>0</v>
      </c>
      <c r="W100" s="60">
        <f t="shared" si="15"/>
        <v>0</v>
      </c>
      <c r="X100" s="60">
        <f t="shared" si="15"/>
        <v>0</v>
      </c>
      <c r="Y100" s="60">
        <f t="shared" si="15"/>
        <v>0</v>
      </c>
      <c r="Z100" s="60">
        <f t="shared" si="15"/>
        <v>0</v>
      </c>
      <c r="AA100" s="60">
        <f t="shared" si="15"/>
        <v>0</v>
      </c>
      <c r="AB100" s="60">
        <f t="shared" si="15"/>
        <v>0</v>
      </c>
      <c r="AC100" s="60">
        <f t="shared" si="15"/>
        <v>0</v>
      </c>
      <c r="AD100" s="60">
        <f t="shared" si="15"/>
        <v>0</v>
      </c>
      <c r="AE100" s="60">
        <f t="shared" si="15"/>
        <v>0</v>
      </c>
      <c r="AF100" s="60">
        <f t="shared" si="15"/>
        <v>0</v>
      </c>
      <c r="AG100" s="87"/>
      <c r="AH100" s="47">
        <f t="shared" si="8"/>
        <v>0</v>
      </c>
      <c r="AI100" s="48">
        <f t="shared" si="9"/>
        <v>0</v>
      </c>
    </row>
    <row r="101" spans="1:37" x14ac:dyDescent="0.25">
      <c r="A101" s="99" t="s">
        <v>109</v>
      </c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1"/>
      <c r="AH101" s="47">
        <f t="shared" si="8"/>
        <v>0</v>
      </c>
      <c r="AI101" s="48">
        <f t="shared" si="9"/>
        <v>0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103"/>
      <c r="AH103" s="47">
        <f t="shared" si="8"/>
        <v>0</v>
      </c>
      <c r="AI103" s="48">
        <f t="shared" si="9"/>
        <v>0</v>
      </c>
    </row>
    <row r="104" spans="1:37" x14ac:dyDescent="0.25">
      <c r="A104" s="102" t="s">
        <v>112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103"/>
      <c r="AH104" s="47">
        <f t="shared" si="8"/>
        <v>0</v>
      </c>
      <c r="AI104" s="48">
        <f t="shared" si="9"/>
        <v>0</v>
      </c>
    </row>
    <row r="105" spans="1:37" x14ac:dyDescent="0.25">
      <c r="A105" s="104" t="s">
        <v>113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103"/>
      <c r="AH105" s="47">
        <f t="shared" si="8"/>
        <v>0</v>
      </c>
      <c r="AI105" s="48">
        <f t="shared" si="9"/>
        <v>0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8"/>
        <v>0</v>
      </c>
      <c r="AI106" s="48">
        <f t="shared" si="9"/>
        <v>0</v>
      </c>
    </row>
    <row r="107" spans="1:37" x14ac:dyDescent="0.25">
      <c r="A107" s="102" t="s">
        <v>115</v>
      </c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103"/>
      <c r="AH107" s="47">
        <f t="shared" si="8"/>
        <v>0</v>
      </c>
      <c r="AI107" s="48">
        <f t="shared" si="9"/>
        <v>0</v>
      </c>
    </row>
    <row r="108" spans="1:37" ht="15.75" thickBot="1" x14ac:dyDescent="0.3">
      <c r="A108" s="102" t="s">
        <v>116</v>
      </c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107"/>
      <c r="AH108" s="47">
        <f t="shared" si="8"/>
        <v>0</v>
      </c>
      <c r="AI108" s="48">
        <f t="shared" si="9"/>
        <v>0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6">SUM(B20,B26,B29:B30,B58,B60:B61,B63,B65,B111:B115,B138,B144,B150,B159,B161,B173,B180,B183:B184,B191,B193,B195,B199:B201,B203:B205,B210,B216:B217,B219:B221,B229,B234)</f>
        <v>0</v>
      </c>
      <c r="C110" s="110">
        <f t="shared" si="16"/>
        <v>0.94</v>
      </c>
      <c r="D110" s="110">
        <f t="shared" si="16"/>
        <v>0.94</v>
      </c>
      <c r="E110" s="110">
        <f t="shared" si="16"/>
        <v>0.94</v>
      </c>
      <c r="F110" s="110">
        <f t="shared" si="16"/>
        <v>0.94</v>
      </c>
      <c r="G110" s="110">
        <f t="shared" si="16"/>
        <v>0.94</v>
      </c>
      <c r="H110" s="110">
        <f t="shared" si="16"/>
        <v>0.94</v>
      </c>
      <c r="I110" s="110">
        <f t="shared" si="16"/>
        <v>0.94</v>
      </c>
      <c r="J110" s="110">
        <f t="shared" si="16"/>
        <v>0.94</v>
      </c>
      <c r="K110" s="110">
        <f t="shared" si="16"/>
        <v>0.94</v>
      </c>
      <c r="L110" s="110">
        <f t="shared" si="16"/>
        <v>0.94</v>
      </c>
      <c r="M110" s="110">
        <f t="shared" si="16"/>
        <v>0.94</v>
      </c>
      <c r="N110" s="110">
        <f t="shared" si="16"/>
        <v>0.94</v>
      </c>
      <c r="O110" s="110">
        <f t="shared" si="16"/>
        <v>0.94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0</v>
      </c>
      <c r="R110" s="110">
        <f t="shared" si="17"/>
        <v>0</v>
      </c>
      <c r="S110" s="110">
        <f t="shared" si="17"/>
        <v>0</v>
      </c>
      <c r="T110" s="110">
        <f t="shared" si="17"/>
        <v>0</v>
      </c>
      <c r="U110" s="110">
        <f t="shared" si="17"/>
        <v>0</v>
      </c>
      <c r="V110" s="110">
        <f t="shared" si="17"/>
        <v>0</v>
      </c>
      <c r="W110" s="110">
        <f t="shared" si="17"/>
        <v>0</v>
      </c>
      <c r="X110" s="110">
        <f t="shared" si="17"/>
        <v>0</v>
      </c>
      <c r="Y110" s="110">
        <f t="shared" si="17"/>
        <v>0</v>
      </c>
      <c r="Z110" s="110">
        <f t="shared" si="17"/>
        <v>0</v>
      </c>
      <c r="AA110" s="110">
        <f t="shared" si="17"/>
        <v>0</v>
      </c>
      <c r="AB110" s="110">
        <f t="shared" si="17"/>
        <v>0</v>
      </c>
      <c r="AC110" s="110">
        <f t="shared" si="17"/>
        <v>0</v>
      </c>
      <c r="AD110" s="110"/>
      <c r="AE110" s="110">
        <f t="shared" si="17"/>
        <v>0</v>
      </c>
      <c r="AF110" s="110">
        <f t="shared" si="17"/>
        <v>0</v>
      </c>
      <c r="AG110" s="111"/>
      <c r="AH110" s="47">
        <f t="shared" si="8"/>
        <v>42</v>
      </c>
      <c r="AI110" s="48">
        <f t="shared" si="9"/>
        <v>0</v>
      </c>
    </row>
    <row r="111" spans="1:37" x14ac:dyDescent="0.25">
      <c r="A111" s="99" t="s">
        <v>119</v>
      </c>
      <c r="B111" s="112"/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3">
        <v>75</v>
      </c>
      <c r="AH111" s="47">
        <f t="shared" si="8"/>
        <v>0</v>
      </c>
      <c r="AI111" s="48">
        <f t="shared" si="9"/>
        <v>0</v>
      </c>
    </row>
    <row r="112" spans="1:37" x14ac:dyDescent="0.25">
      <c r="A112" s="102" t="s">
        <v>120</v>
      </c>
      <c r="B112" s="114"/>
      <c r="C112" s="114"/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  <c r="AD112" s="114"/>
      <c r="AE112" s="114"/>
      <c r="AF112" s="114"/>
      <c r="AG112" s="113">
        <v>240</v>
      </c>
      <c r="AH112" s="47">
        <f t="shared" si="8"/>
        <v>0</v>
      </c>
      <c r="AI112" s="48">
        <f t="shared" si="9"/>
        <v>0</v>
      </c>
    </row>
    <row r="113" spans="1:37" x14ac:dyDescent="0.25">
      <c r="A113" s="102" t="s">
        <v>121</v>
      </c>
      <c r="B113" s="114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3">
        <v>240</v>
      </c>
      <c r="AH113" s="47">
        <f t="shared" si="8"/>
        <v>0</v>
      </c>
      <c r="AI113" s="48">
        <f t="shared" si="9"/>
        <v>0</v>
      </c>
    </row>
    <row r="114" spans="1:37" x14ac:dyDescent="0.25">
      <c r="A114" s="102" t="s">
        <v>122</v>
      </c>
      <c r="B114" s="114"/>
      <c r="C114" s="114"/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  <c r="AA114" s="114"/>
      <c r="AB114" s="114"/>
      <c r="AC114" s="114"/>
      <c r="AD114" s="114"/>
      <c r="AE114" s="114"/>
      <c r="AF114" s="114"/>
      <c r="AG114" s="113">
        <v>60</v>
      </c>
      <c r="AH114" s="47">
        <f t="shared" si="8"/>
        <v>0</v>
      </c>
      <c r="AI114" s="48">
        <f t="shared" si="9"/>
        <v>0</v>
      </c>
    </row>
    <row r="115" spans="1:37" x14ac:dyDescent="0.25">
      <c r="A115" s="115" t="s">
        <v>123</v>
      </c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7"/>
      <c r="AH116" s="47">
        <f t="shared" si="8"/>
        <v>0</v>
      </c>
      <c r="AI116" s="48">
        <f t="shared" si="9"/>
        <v>0</v>
      </c>
    </row>
    <row r="117" spans="1:37" x14ac:dyDescent="0.25">
      <c r="A117" s="115" t="s">
        <v>125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8"/>
      <c r="AH117" s="47">
        <f t="shared" si="8"/>
        <v>0</v>
      </c>
      <c r="AI117" s="48">
        <f t="shared" si="9"/>
        <v>0</v>
      </c>
    </row>
    <row r="118" spans="1:37" x14ac:dyDescent="0.25">
      <c r="A118" s="119" t="s">
        <v>126</v>
      </c>
      <c r="B118" s="105"/>
      <c r="C118" s="105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18"/>
      <c r="AH118" s="47">
        <f t="shared" si="8"/>
        <v>0</v>
      </c>
      <c r="AI118" s="48">
        <f t="shared" si="9"/>
        <v>0</v>
      </c>
    </row>
    <row r="119" spans="1:37" x14ac:dyDescent="0.25">
      <c r="A119" s="120" t="s">
        <v>127</v>
      </c>
      <c r="B119" s="105"/>
      <c r="C119" s="105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18"/>
      <c r="AH119" s="47">
        <f t="shared" si="8"/>
        <v>0</v>
      </c>
      <c r="AI119" s="48">
        <f t="shared" si="9"/>
        <v>0</v>
      </c>
    </row>
    <row r="120" spans="1:37" ht="15.75" thickBot="1" x14ac:dyDescent="0.3">
      <c r="A120" s="119" t="s">
        <v>128</v>
      </c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18"/>
      <c r="AH120" s="47">
        <f t="shared" si="8"/>
        <v>0</v>
      </c>
      <c r="AI120" s="48">
        <f t="shared" si="9"/>
        <v>0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3.54</v>
      </c>
      <c r="C244" s="161">
        <f>INDEX(G9:N9,1,MATCH(MAX(G91:N91),G91:N91,0))</f>
        <v>0.20833333333333301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sample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3" t="s">
        <v>248</v>
      </c>
      <c r="B246" s="183"/>
      <c r="C246" s="43"/>
      <c r="D246" s="162" t="e">
        <f ca="1">"Pie Chart of Daily Peak Demand(Inclusive of Export) of Nepal ("&amp;A4&amp;" "&amp;B4&amp;")"</f>
        <v>#VALUE!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e">
        <f ca="1">"Daily Load Curve(Excluding of Export) of Nepal ("&amp;A4&amp;" "&amp;B4&amp;")"</f>
        <v>#VALUE!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303.54000000000002</v>
      </c>
      <c r="U249" s="170">
        <f t="shared" si="22"/>
        <v>3.54</v>
      </c>
      <c r="V249" s="170">
        <f t="shared" si="22"/>
        <v>3.54</v>
      </c>
      <c r="W249" s="170">
        <f t="shared" si="22"/>
        <v>3.54</v>
      </c>
      <c r="X249" s="170">
        <f t="shared" si="22"/>
        <v>3.54</v>
      </c>
      <c r="Y249" s="170">
        <f t="shared" si="22"/>
        <v>3.54</v>
      </c>
      <c r="Z249" s="170">
        <f t="shared" si="22"/>
        <v>3.54</v>
      </c>
      <c r="AA249" s="170">
        <f t="shared" si="22"/>
        <v>3.54</v>
      </c>
      <c r="AB249" s="170">
        <f t="shared" si="22"/>
        <v>3.54</v>
      </c>
      <c r="AC249" s="170">
        <f t="shared" si="22"/>
        <v>3.54</v>
      </c>
      <c r="AD249" s="170">
        <f t="shared" si="22"/>
        <v>3.54</v>
      </c>
      <c r="AE249" s="170">
        <f t="shared" si="22"/>
        <v>3.54</v>
      </c>
      <c r="AF249" s="170">
        <f t="shared" si="22"/>
        <v>3.54</v>
      </c>
      <c r="AG249" s="170">
        <f t="shared" si="22"/>
        <v>3.54</v>
      </c>
      <c r="AH249" s="170">
        <f t="shared" si="22"/>
        <v>3.54</v>
      </c>
      <c r="AI249" s="170">
        <f t="shared" si="22"/>
        <v>3.54</v>
      </c>
      <c r="AJ249" s="170">
        <f t="shared" si="22"/>
        <v>3.54</v>
      </c>
      <c r="AK249" s="170">
        <f t="shared" si="22"/>
        <v>3.54</v>
      </c>
      <c r="AL249" s="170">
        <f t="shared" si="22"/>
        <v>3.54</v>
      </c>
      <c r="AM249" s="170">
        <f t="shared" si="22"/>
        <v>3.54</v>
      </c>
      <c r="AN249" s="170">
        <f t="shared" si="22"/>
        <v>3.54</v>
      </c>
      <c r="AO249" s="170">
        <f t="shared" si="22"/>
        <v>3.54</v>
      </c>
      <c r="AP249" s="170">
        <f t="shared" si="22"/>
        <v>3.54</v>
      </c>
      <c r="AQ249" s="170">
        <f t="shared" si="22"/>
        <v>3.54</v>
      </c>
      <c r="AR249" s="170">
        <f t="shared" si="22"/>
        <v>3.54</v>
      </c>
      <c r="AS249" s="170">
        <f t="shared" si="22"/>
        <v>3.54</v>
      </c>
      <c r="AT249" s="170">
        <f t="shared" si="22"/>
        <v>3.54</v>
      </c>
      <c r="AU249" s="170">
        <f t="shared" si="22"/>
        <v>3.54</v>
      </c>
      <c r="AV249" s="170">
        <f t="shared" si="22"/>
        <v>3.54</v>
      </c>
      <c r="AW249" s="170">
        <f t="shared" si="22"/>
        <v>3.54</v>
      </c>
      <c r="AX249" s="170">
        <f t="shared" si="22"/>
        <v>3.54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21" priority="156">
      <formula>$AH11=0</formula>
    </cfRule>
  </conditionalFormatting>
  <conditionalFormatting sqref="B8 M8 S8 AB8">
    <cfRule type="expression" dxfId="120" priority="408">
      <formula>AND(C$9&gt;=14/24,C$9&lt;20/24)</formula>
    </cfRule>
    <cfRule type="expression" dxfId="119" priority="409">
      <formula>AND(C$9&gt;=8/24,C$9&lt;14/24)</formula>
    </cfRule>
    <cfRule type="expression" dxfId="118" priority="410">
      <formula>C$9&lt;8/24</formula>
    </cfRule>
  </conditionalFormatting>
  <conditionalFormatting sqref="B54:C54">
    <cfRule type="expression" dxfId="117" priority="73">
      <formula>B$9&gt;=20/24</formula>
    </cfRule>
    <cfRule type="expression" dxfId="116" priority="74">
      <formula>AND(B$9&gt;=14/24,B$9&lt;20/24)</formula>
    </cfRule>
    <cfRule type="expression" dxfId="115" priority="75">
      <formula>AND(B$9&gt;=8/24,B$9&lt;14/24)</formula>
    </cfRule>
    <cfRule type="expression" dxfId="114" priority="76">
      <formula>B$9&lt;8/24</formula>
    </cfRule>
  </conditionalFormatting>
  <conditionalFormatting sqref="B54:C66">
    <cfRule type="expression" dxfId="113" priority="67">
      <formula>B54&gt;$AG54</formula>
    </cfRule>
  </conditionalFormatting>
  <conditionalFormatting sqref="B55:D59">
    <cfRule type="expression" dxfId="112" priority="127">
      <formula>B$9&gt;=20/24</formula>
    </cfRule>
    <cfRule type="expression" dxfId="111" priority="128">
      <formula>AND(B$9&gt;=14/24,B$9&lt;20/24)</formula>
    </cfRule>
    <cfRule type="expression" dxfId="110" priority="129">
      <formula>AND(B$9&gt;=8/24,B$9&lt;14/24)</formula>
    </cfRule>
    <cfRule type="expression" dxfId="109" priority="130">
      <formula>B$9&lt;8/24</formula>
    </cfRule>
  </conditionalFormatting>
  <conditionalFormatting sqref="B60:R60">
    <cfRule type="expression" dxfId="108" priority="113">
      <formula>B$9&gt;=20/24</formula>
    </cfRule>
    <cfRule type="expression" dxfId="107" priority="114">
      <formula>AND(B$9&gt;=14/24,B$9&lt;20/24)</formula>
    </cfRule>
    <cfRule type="expression" dxfId="106" priority="115">
      <formula>AND(B$9&gt;=8/24,B$9&lt;14/24)</formula>
    </cfRule>
    <cfRule type="expression" dxfId="105" priority="116">
      <formula>B$9&lt;8/24</formula>
    </cfRule>
  </conditionalFormatting>
  <conditionalFormatting sqref="B61:AD66">
    <cfRule type="expression" dxfId="104" priority="68">
      <formula>B$9&gt;=20/24</formula>
    </cfRule>
    <cfRule type="expression" dxfId="103" priority="69">
      <formula>AND(B$9&gt;=14/24,B$9&lt;20/24)</formula>
    </cfRule>
    <cfRule type="expression" dxfId="102" priority="70">
      <formula>AND(B$9&gt;=8/24,B$9&lt;14/24)</formula>
    </cfRule>
    <cfRule type="expression" dxfId="101" priority="71">
      <formula>B$9&lt;8/24</formula>
    </cfRule>
  </conditionalFormatting>
  <conditionalFormatting sqref="B9:AF45">
    <cfRule type="expression" dxfId="100" priority="37">
      <formula>B$9&gt;=20/24</formula>
    </cfRule>
    <cfRule type="expression" dxfId="99" priority="38">
      <formula>AND(B$9&gt;=14/24,B$9&lt;20/24)</formula>
    </cfRule>
    <cfRule type="expression" dxfId="98" priority="39">
      <formula>AND(B$9&gt;=8/24,B$9&lt;14/24)</formula>
    </cfRule>
    <cfRule type="expression" dxfId="97" priority="40">
      <formula>B$9&lt;8/24</formula>
    </cfRule>
  </conditionalFormatting>
  <conditionalFormatting sqref="B11:AF46">
    <cfRule type="expression" dxfId="96" priority="35">
      <formula>B11&gt;$AG11</formula>
    </cfRule>
  </conditionalFormatting>
  <conditionalFormatting sqref="B46:AF46">
    <cfRule type="expression" dxfId="95" priority="31">
      <formula>B$9&gt;=20/24</formula>
    </cfRule>
    <cfRule type="expression" dxfId="94" priority="32">
      <formula>AND(B$9&gt;=14/24,B$9&lt;20/24)</formula>
    </cfRule>
    <cfRule type="expression" dxfId="93" priority="33">
      <formula>AND(B$9&gt;=8/24,B$9&lt;14/24)</formula>
    </cfRule>
    <cfRule type="expression" dxfId="92" priority="34">
      <formula>B$9&lt;8/24</formula>
    </cfRule>
  </conditionalFormatting>
  <conditionalFormatting sqref="B47:AF47">
    <cfRule type="expression" dxfId="91" priority="66">
      <formula>B47&gt;$AG47</formula>
    </cfRule>
  </conditionalFormatting>
  <conditionalFormatting sqref="B47:AF49">
    <cfRule type="expression" dxfId="90" priority="53">
      <formula>B$9&gt;=20/24</formula>
    </cfRule>
    <cfRule type="expression" dxfId="89" priority="54">
      <formula>AND(B$9&gt;=14/24,B$9&lt;20/24)</formula>
    </cfRule>
    <cfRule type="expression" dxfId="88" priority="55">
      <formula>AND(B$9&gt;=8/24,B$9&lt;14/24)</formula>
    </cfRule>
    <cfRule type="expression" dxfId="87" priority="56">
      <formula>B$9&lt;8/24</formula>
    </cfRule>
  </conditionalFormatting>
  <conditionalFormatting sqref="B48:AF53">
    <cfRule type="expression" dxfId="86" priority="51">
      <formula>B48&gt;$AG48</formula>
    </cfRule>
  </conditionalFormatting>
  <conditionalFormatting sqref="B51:AF53">
    <cfRule type="expression" dxfId="85" priority="104">
      <formula>B$9&gt;=20/24</formula>
    </cfRule>
    <cfRule type="expression" dxfId="84" priority="105">
      <formula>AND(B$9&gt;=14/24,B$9&lt;20/24)</formula>
    </cfRule>
    <cfRule type="expression" dxfId="83" priority="106">
      <formula>AND(B$9&gt;=8/24,B$9&lt;14/24)</formula>
    </cfRule>
    <cfRule type="expression" dxfId="82" priority="107">
      <formula>B$9&lt;8/24</formula>
    </cfRule>
  </conditionalFormatting>
  <conditionalFormatting sqref="B69:AF71">
    <cfRule type="expression" dxfId="81" priority="121">
      <formula>B69&gt;$AG69</formula>
    </cfRule>
    <cfRule type="expression" dxfId="80" priority="122">
      <formula>B$9&gt;=20/24</formula>
    </cfRule>
    <cfRule type="expression" dxfId="79" priority="123">
      <formula>AND(B$9&gt;=14/24,B$9&lt;20/24)</formula>
    </cfRule>
    <cfRule type="expression" dxfId="78" priority="124">
      <formula>AND(B$9&gt;=8/24,B$9&lt;14/24)</formula>
    </cfRule>
    <cfRule type="expression" dxfId="77" priority="125">
      <formula>B$9&lt;8/24</formula>
    </cfRule>
  </conditionalFormatting>
  <conditionalFormatting sqref="B73:AF91">
    <cfRule type="expression" dxfId="76" priority="1">
      <formula>B$9&gt;=20/24</formula>
    </cfRule>
    <cfRule type="expression" dxfId="75" priority="2">
      <formula>AND(B$9&gt;=14/24,B$9&lt;20/24)</formula>
    </cfRule>
    <cfRule type="expression" dxfId="74" priority="3">
      <formula>AND(B$9&gt;=8/24,B$9&lt;14/24)</formula>
    </cfRule>
    <cfRule type="expression" dxfId="73" priority="4">
      <formula>B$9&lt;8/24</formula>
    </cfRule>
  </conditionalFormatting>
  <conditionalFormatting sqref="B111:AF120">
    <cfRule type="expression" dxfId="72" priority="27">
      <formula>B$9&gt;=20/24</formula>
    </cfRule>
    <cfRule type="expression" dxfId="71" priority="28">
      <formula>AND(B$9&gt;=14/24,B$9&lt;20/24)</formula>
    </cfRule>
    <cfRule type="expression" dxfId="70" priority="29">
      <formula>AND(B$9&gt;=8/24,B$9&lt;14/24)</formula>
    </cfRule>
    <cfRule type="expression" dxfId="69" priority="30">
      <formula>B$9&lt;8/24</formula>
    </cfRule>
  </conditionalFormatting>
  <conditionalFormatting sqref="B227:AF227 D229:AF230 B229:B235 D231:H231 J231:AF231 D232:AF235 U248:AF248">
    <cfRule type="expression" dxfId="68" priority="401">
      <formula>B$9&gt;=20/24</formula>
    </cfRule>
    <cfRule type="expression" dxfId="67" priority="402">
      <formula>AND(B$9&gt;=14/24,B$9&lt;20/24)</formula>
    </cfRule>
    <cfRule type="expression" dxfId="66" priority="403">
      <formula>AND(B$9&gt;=8/24,B$9&lt;14/24)</formula>
    </cfRule>
    <cfRule type="expression" dxfId="65" priority="404">
      <formula>B$9&lt;8/24</formula>
    </cfRule>
  </conditionalFormatting>
  <conditionalFormatting sqref="B67:AG68 B72:AG72">
    <cfRule type="expression" dxfId="64" priority="81">
      <formula>B67&gt;$AG67</formula>
    </cfRule>
  </conditionalFormatting>
  <conditionalFormatting sqref="B72:AG72 B93:AF109">
    <cfRule type="expression" dxfId="63" priority="82">
      <formula>B$9&gt;=20/24</formula>
    </cfRule>
    <cfRule type="expression" dxfId="62" priority="83">
      <formula>AND(B$9&gt;=14/24,B$9&lt;20/24)</formula>
    </cfRule>
    <cfRule type="expression" dxfId="61" priority="84">
      <formula>AND(B$9&gt;=8/24,B$9&lt;14/24)</formula>
    </cfRule>
    <cfRule type="expression" dxfId="60" priority="85">
      <formula>B$9&lt;8/24</formula>
    </cfRule>
  </conditionalFormatting>
  <conditionalFormatting sqref="D55:AF66">
    <cfRule type="expression" dxfId="59" priority="17">
      <formula>D55&gt;$AG55</formula>
    </cfRule>
  </conditionalFormatting>
  <conditionalFormatting sqref="D54:AG54">
    <cfRule type="expression" dxfId="58" priority="252">
      <formula>D54&gt;$AG54</formula>
    </cfRule>
    <cfRule type="expression" dxfId="57" priority="253">
      <formula>D$9&gt;=20/24</formula>
    </cfRule>
    <cfRule type="expression" dxfId="56" priority="254">
      <formula>AND(D$9&gt;=14/24,D$9&lt;20/24)</formula>
    </cfRule>
    <cfRule type="expression" dxfId="55" priority="255">
      <formula>AND(D$9&gt;=8/24,D$9&lt;14/24)</formula>
    </cfRule>
    <cfRule type="expression" dxfId="54" priority="256">
      <formula>D$9&lt;8/24</formula>
    </cfRule>
  </conditionalFormatting>
  <conditionalFormatting sqref="E55:L57">
    <cfRule type="expression" dxfId="53" priority="339">
      <formula>E$9&gt;=20/24</formula>
    </cfRule>
    <cfRule type="expression" dxfId="52" priority="340">
      <formula>AND(E$9&gt;=14/24,E$9&lt;20/24)</formula>
    </cfRule>
    <cfRule type="expression" dxfId="51" priority="341">
      <formula>AND(E$9&gt;=8/24,E$9&lt;14/24)</formula>
    </cfRule>
    <cfRule type="expression" dxfId="50" priority="342">
      <formula>E$9&lt;8/24</formula>
    </cfRule>
  </conditionalFormatting>
  <conditionalFormatting sqref="M55:R59">
    <cfRule type="expression" dxfId="49" priority="367">
      <formula>M$9&gt;=20/24</formula>
    </cfRule>
    <cfRule type="expression" dxfId="48" priority="368">
      <formula>AND(M$9&gt;=14/24,M$9&lt;20/24)</formula>
    </cfRule>
    <cfRule type="expression" dxfId="47" priority="369">
      <formula>AND(M$9&gt;=8/24,M$9&lt;14/24)</formula>
    </cfRule>
    <cfRule type="expression" dxfId="46" priority="370">
      <formula>M$9&lt;8/24</formula>
    </cfRule>
  </conditionalFormatting>
  <conditionalFormatting sqref="O3:P3">
    <cfRule type="iconSet" priority="405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45" priority="407">
      <formula>C$9&gt;=20/24</formula>
    </cfRule>
  </conditionalFormatting>
  <conditionalFormatting sqref="S8">
    <cfRule type="expression" dxfId="44" priority="380">
      <formula>U$9&gt;=20/24</formula>
    </cfRule>
    <cfRule type="expression" dxfId="43" priority="381">
      <formula>AND(U$9&gt;=14/24,U$9&lt;20/24)</formula>
    </cfRule>
    <cfRule type="expression" dxfId="42" priority="382">
      <formula>AND(U$9&gt;=8/24,U$9&lt;14/24)</formula>
    </cfRule>
    <cfRule type="expression" dxfId="41" priority="383">
      <formula>U$9&lt;8/24</formula>
    </cfRule>
  </conditionalFormatting>
  <conditionalFormatting sqref="S55:AF60">
    <cfRule type="expression" dxfId="40" priority="23">
      <formula>S$9&gt;=20/24</formula>
    </cfRule>
    <cfRule type="expression" dxfId="39" priority="24">
      <formula>AND(S$9&gt;=14/24,S$9&lt;20/24)</formula>
    </cfRule>
    <cfRule type="expression" dxfId="38" priority="25">
      <formula>AND(S$9&gt;=8/24,S$9&lt;14/24)</formula>
    </cfRule>
    <cfRule type="expression" dxfId="37" priority="26">
      <formula>S$9&lt;8/24</formula>
    </cfRule>
  </conditionalFormatting>
  <conditionalFormatting sqref="T248">
    <cfRule type="expression" dxfId="36" priority="420">
      <formula>AX$9&gt;=20/24</formula>
    </cfRule>
    <cfRule type="expression" dxfId="35" priority="421">
      <formula>AND(AX$9&gt;=14/24,AX$9&lt;20/24)</formula>
    </cfRule>
    <cfRule type="expression" dxfId="34" priority="422">
      <formula>AND(AX$9&gt;=8/24,AX$9&lt;14/24)</formula>
    </cfRule>
    <cfRule type="expression" dxfId="33" priority="423">
      <formula>AX$9&lt;8/24</formula>
    </cfRule>
  </conditionalFormatting>
  <conditionalFormatting sqref="V3 AB3">
    <cfRule type="iconSet" priority="406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2" priority="376">
      <formula>AD$9&gt;=20/24</formula>
    </cfRule>
    <cfRule type="expression" dxfId="31" priority="377">
      <formula>AND(AD$9&gt;=14/24,AD$9&lt;20/24)</formula>
    </cfRule>
    <cfRule type="expression" dxfId="30" priority="378">
      <formula>AND(AD$9&gt;=8/24,AD$9&lt;14/24)</formula>
    </cfRule>
    <cfRule type="expression" dxfId="29" priority="379">
      <formula>AD$9&lt;8/24</formula>
    </cfRule>
  </conditionalFormatting>
  <conditionalFormatting sqref="AE61:AF66">
    <cfRule type="expression" dxfId="28" priority="18">
      <formula>AE$9&gt;=20/24</formula>
    </cfRule>
    <cfRule type="expression" dxfId="27" priority="19">
      <formula>AND(AE$9&gt;=14/24,AE$9&lt;20/24)</formula>
    </cfRule>
    <cfRule type="expression" dxfId="26" priority="20">
      <formula>AND(AE$9&gt;=8/24,AE$9&lt;14/24)</formula>
    </cfRule>
    <cfRule type="expression" dxfId="25" priority="21">
      <formula>AE$9&lt;8/24</formula>
    </cfRule>
  </conditionalFormatting>
  <conditionalFormatting sqref="AG50">
    <cfRule type="expression" dxfId="24" priority="333">
      <formula>AG50&gt;$AG50</formula>
    </cfRule>
  </conditionalFormatting>
  <conditionalFormatting sqref="AG89">
    <cfRule type="expression" dxfId="23" priority="334">
      <formula>AG$9&gt;=20/24</formula>
    </cfRule>
    <cfRule type="expression" dxfId="22" priority="335">
      <formula>AND(AG$9&gt;=14/24,AG$9&lt;20/24)</formula>
    </cfRule>
    <cfRule type="expression" dxfId="21" priority="336">
      <formula>AND(AG$9&gt;=8/24,AG$9&lt;14/24)</formula>
    </cfRule>
    <cfRule type="expression" dxfId="20" priority="337">
      <formula>AG$9&lt;8/24</formula>
    </cfRule>
  </conditionalFormatting>
  <conditionalFormatting sqref="AG248">
    <cfRule type="expression" dxfId="19" priority="412">
      <formula>B$9&gt;=20/24</formula>
    </cfRule>
    <cfRule type="expression" dxfId="18" priority="413">
      <formula>AND(B$9&gt;=14/24,B$9&lt;20/24)</formula>
    </cfRule>
    <cfRule type="expression" dxfId="17" priority="414">
      <formula>AND(B$9&gt;=8/24,B$9&lt;14/24)</formula>
    </cfRule>
    <cfRule type="expression" dxfId="16" priority="415">
      <formula>B$9&lt;8/24</formula>
    </cfRule>
  </conditionalFormatting>
  <conditionalFormatting sqref="AH248:AX248">
    <cfRule type="expression" dxfId="15" priority="416">
      <formula>AG$9&gt;=20/24</formula>
    </cfRule>
    <cfRule type="expression" dxfId="14" priority="417">
      <formula>AND(AG$9&gt;=14/24,AG$9&lt;20/24)</formula>
    </cfRule>
    <cfRule type="expression" dxfId="13" priority="418">
      <formula>AND(AG$9&gt;=8/24,AG$9&lt;14/24)</formula>
    </cfRule>
    <cfRule type="expression" dxfId="12" priority="419">
      <formula>AG$9&lt;8/24</formula>
    </cfRule>
  </conditionalFormatting>
  <conditionalFormatting sqref="AL4:AL6">
    <cfRule type="iconSet" priority="400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71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299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64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297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30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39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384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424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1" priority="425">
      <formula>AJ$9&gt;=20/24</formula>
    </cfRule>
    <cfRule type="expression" dxfId="10" priority="426">
      <formula>AND(AJ$9&gt;=14/24,AJ$9&lt;20/24)</formula>
    </cfRule>
    <cfRule type="expression" dxfId="9" priority="427">
      <formula>AND(AJ$9&gt;=8/24,AJ$9&lt;14/24)</formula>
    </cfRule>
    <cfRule type="expression" dxfId="8" priority="428">
      <formula>AJ$9&lt;8/24</formula>
    </cfRule>
  </conditionalFormatting>
  <conditionalFormatting sqref="AL80:AN80 AL86:AN86">
    <cfRule type="expression" dxfId="7" priority="225">
      <formula>AL$9&gt;=20/24</formula>
    </cfRule>
    <cfRule type="expression" dxfId="6" priority="226">
      <formula>AND(AL$9&gt;=14/24,AL$9&lt;20/24)</formula>
    </cfRule>
    <cfRule type="expression" dxfId="5" priority="227">
      <formula>AND(AL$9&gt;=8/24,AL$9&lt;14/24)</formula>
    </cfRule>
    <cfRule type="expression" dxfId="4" priority="228">
      <formula>AL$9&lt;8/24</formula>
    </cfRule>
  </conditionalFormatting>
  <conditionalFormatting sqref="AN81:AN84">
    <cfRule type="expression" dxfId="3" priority="221">
      <formula>AN$9&gt;=20/24</formula>
    </cfRule>
    <cfRule type="expression" dxfId="2" priority="222">
      <formula>AND(AN$9&gt;=14/24,AN$9&lt;20/24)</formula>
    </cfRule>
    <cfRule type="expression" dxfId="1" priority="223">
      <formula>AND(AN$9&gt;=8/24,AN$9&lt;14/24)</formula>
    </cfRule>
    <cfRule type="expression" dxfId="0" priority="224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7DBFF-ABB4-4C44-A71A-390FBD176816}">
  <sheetPr codeName="Sheet22"/>
  <dimension ref="A1"/>
  <sheetViews>
    <sheetView workbookViewId="0">
      <selection activeCell="M17" sqref="M17"/>
    </sheetView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3A10-10BF-4F1D-A574-E1339BBA4EC3}">
  <sheetPr codeName="Sheet23"/>
  <dimension ref="A3:C8"/>
  <sheetViews>
    <sheetView workbookViewId="0">
      <selection activeCell="C6" sqref="C6"/>
    </sheetView>
  </sheetViews>
  <sheetFormatPr defaultRowHeight="15" x14ac:dyDescent="0.25"/>
  <sheetData>
    <row r="3" spans="1:3" x14ac:dyDescent="0.25">
      <c r="A3" t="s">
        <v>258</v>
      </c>
      <c r="B3">
        <v>8</v>
      </c>
      <c r="C3">
        <v>13</v>
      </c>
    </row>
    <row r="4" spans="1:3" x14ac:dyDescent="0.25">
      <c r="A4" t="s">
        <v>259</v>
      </c>
      <c r="B4">
        <v>5</v>
      </c>
      <c r="C4">
        <v>13</v>
      </c>
    </row>
    <row r="5" spans="1:3" x14ac:dyDescent="0.25">
      <c r="A5" t="s">
        <v>260</v>
      </c>
      <c r="B5">
        <v>5</v>
      </c>
      <c r="C5">
        <v>13.5</v>
      </c>
    </row>
    <row r="6" spans="1:3" x14ac:dyDescent="0.25">
      <c r="A6" t="s">
        <v>261</v>
      </c>
      <c r="B6">
        <v>3</v>
      </c>
      <c r="C6">
        <v>6</v>
      </c>
    </row>
    <row r="7" spans="1:3" x14ac:dyDescent="0.25">
      <c r="A7" t="s">
        <v>280</v>
      </c>
      <c r="B7">
        <v>8.6</v>
      </c>
      <c r="C7">
        <v>4</v>
      </c>
    </row>
    <row r="8" spans="1:3" x14ac:dyDescent="0.25">
      <c r="C8">
        <f>SUM(C3:C7)</f>
        <v>49.5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15</vt:lpstr>
      <vt:lpstr>14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01</vt:lpstr>
      <vt:lpstr>sample</vt:lpstr>
      <vt:lpstr>Sheet1</vt:lpstr>
      <vt:lpstr>phcal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Room LDC  System Operation Department</dc:creator>
  <cp:lastModifiedBy>Control Room LDC  System Operation Department</cp:lastModifiedBy>
  <dcterms:created xsi:type="dcterms:W3CDTF">2023-07-16T17:47:03Z</dcterms:created>
  <dcterms:modified xsi:type="dcterms:W3CDTF">2024-02-23T12:15:57Z</dcterms:modified>
</cp:coreProperties>
</file>